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C:\Users\Usuario\Documents\PMVA\LICITAÇÕES\LICITAÇÕES\TP 2022-003 ETA CASTELINHO\PROJETOS\"/>
    </mc:Choice>
  </mc:AlternateContent>
  <xr:revisionPtr revIDLastSave="0" documentId="13_ncr:1_{2FFA0126-DCED-4259-8B92-FF1D650C40AD}" xr6:coauthVersionLast="47" xr6:coauthVersionMax="47" xr10:uidLastSave="{00000000-0000-0000-0000-000000000000}"/>
  <bookViews>
    <workbookView xWindow="-120" yWindow="-120" windowWidth="21840" windowHeight="13140" tabRatio="603" firstSheet="2" activeTab="6" xr2:uid="{00000000-000D-0000-FFFF-FFFF00000000}"/>
  </bookViews>
  <sheets>
    <sheet name="PLANILHA" sheetId="17" r:id="rId1"/>
    <sheet name="MÉDIA ORÇAMENTOS " sheetId="21" r:id="rId2"/>
    <sheet name="Memorial de Cálculo" sheetId="10" r:id="rId3"/>
    <sheet name="CRONOGRAMA" sheetId="12" r:id="rId4"/>
    <sheet name="CPU" sheetId="19" state="hidden" r:id="rId5"/>
    <sheet name="CPA" sheetId="16" r:id="rId6"/>
    <sheet name="BDI 31,96%" sheetId="20" r:id="rId7"/>
    <sheet name="Memorial Descritivo" sheetId="14" r:id="rId8"/>
  </sheets>
  <externalReferences>
    <externalReference r:id="rId9"/>
  </externalReferences>
  <definedNames>
    <definedName name="_xlnm.Print_Area" localSheetId="6">'BDI 31,96%'!$A$1:$D$55</definedName>
    <definedName name="_xlnm.Print_Area" localSheetId="5">CPA!$A$1:$K$37</definedName>
    <definedName name="_xlnm.Print_Area" localSheetId="4">CPU!$A$1:$K$83</definedName>
    <definedName name="_xlnm.Print_Area" localSheetId="3">CRONOGRAMA!$A$1:$P$40</definedName>
    <definedName name="_xlnm.Print_Area" localSheetId="2">'Memorial de Cálculo'!$A$1:$K$68</definedName>
    <definedName name="_xlnm.Print_Area" localSheetId="7">'Memorial Descritivo'!$A$1:$B$83</definedName>
    <definedName name="_xlnm.Print_Area" localSheetId="0">PLANILHA!$A$1:$M$71</definedName>
    <definedName name="_xlnm.Print_Titles" localSheetId="5">CPA!$1:$9</definedName>
    <definedName name="_xlnm.Print_Titles" localSheetId="4">CPU!$1:$9</definedName>
    <definedName name="_xlnm.Print_Titles" localSheetId="2">'Memorial de Cálculo'!$A:$I,'Memorial de Cálculo'!$1:$5</definedName>
    <definedName name="_xlnm.Print_Titles" localSheetId="7">'Memorial Descritivo'!$1:$7</definedName>
    <definedName name="_xlnm.Print_Titles" localSheetId="0">PLANILHA!$A:$M,PLANILHA!$1:$6</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18" i="21" l="1"/>
  <c r="C17" i="21"/>
  <c r="L25" i="17"/>
  <c r="L26" i="17"/>
  <c r="Q26" i="17"/>
  <c r="P25" i="17"/>
  <c r="Q25" i="17" s="1"/>
  <c r="P26" i="17"/>
  <c r="A13" i="21"/>
  <c r="A6" i="21"/>
  <c r="B18" i="10"/>
  <c r="B19" i="10"/>
  <c r="K21" i="17"/>
  <c r="K18" i="17"/>
  <c r="K19" i="17"/>
  <c r="K20" i="17"/>
  <c r="K16" i="17"/>
  <c r="P19" i="17"/>
  <c r="Q19" i="17" s="1"/>
  <c r="L19" i="17" s="1"/>
  <c r="M19" i="17" s="1"/>
  <c r="P20" i="17"/>
  <c r="Q20" i="17" s="1"/>
  <c r="L20" i="17" s="1"/>
  <c r="K44" i="17"/>
  <c r="P44" i="17"/>
  <c r="Q44" i="17" s="1"/>
  <c r="L44" i="17" s="1"/>
  <c r="M44" i="17" s="1"/>
  <c r="Q41" i="17"/>
  <c r="Q42" i="17"/>
  <c r="Q50" i="17"/>
  <c r="L50" i="17" s="1"/>
  <c r="Q51" i="17"/>
  <c r="L51" i="17" s="1"/>
  <c r="K80" i="17"/>
  <c r="P59" i="17"/>
  <c r="Q59" i="17" s="1"/>
  <c r="L59" i="17" s="1"/>
  <c r="M59" i="17" s="1"/>
  <c r="B4" i="20"/>
  <c r="A44" i="20"/>
  <c r="A41" i="20"/>
  <c r="E37" i="20"/>
  <c r="C26" i="20"/>
  <c r="M20" i="17" l="1"/>
  <c r="M12" i="10"/>
  <c r="B26" i="12"/>
  <c r="B23" i="12"/>
  <c r="B20" i="12"/>
  <c r="B17" i="12"/>
  <c r="B14" i="12"/>
  <c r="B11" i="12"/>
  <c r="B8" i="12"/>
  <c r="K38" i="17"/>
  <c r="P24" i="17"/>
  <c r="Q24" i="17" s="1"/>
  <c r="L24" i="17" s="1"/>
  <c r="K26" i="17"/>
  <c r="M26" i="17" s="1"/>
  <c r="K27" i="17"/>
  <c r="K25" i="17"/>
  <c r="M25" i="17" s="1"/>
  <c r="M26" i="10"/>
  <c r="D24" i="10"/>
  <c r="D25" i="10"/>
  <c r="D26" i="10"/>
  <c r="B26" i="10"/>
  <c r="B25" i="10"/>
  <c r="B24" i="10"/>
  <c r="O20" i="10"/>
  <c r="N20" i="10"/>
  <c r="N17" i="10"/>
  <c r="R21" i="10"/>
  <c r="P27" i="17"/>
  <c r="Q27" i="17" s="1"/>
  <c r="L27" i="17" s="1"/>
  <c r="O15" i="10"/>
  <c r="N15" i="10"/>
  <c r="M15" i="10"/>
  <c r="B15" i="10"/>
  <c r="P16" i="17"/>
  <c r="Q16" i="17" s="1"/>
  <c r="L16" i="17" s="1"/>
  <c r="M16" i="17" s="1"/>
  <c r="B61" i="10"/>
  <c r="B60" i="10"/>
  <c r="B52" i="10"/>
  <c r="B53" i="10"/>
  <c r="B54" i="10"/>
  <c r="B55" i="10"/>
  <c r="B56" i="10"/>
  <c r="B57" i="10"/>
  <c r="D57" i="10"/>
  <c r="D52" i="10"/>
  <c r="D53" i="10"/>
  <c r="D54" i="10"/>
  <c r="D55" i="10"/>
  <c r="D56" i="10"/>
  <c r="D51" i="10"/>
  <c r="B51" i="10"/>
  <c r="B50" i="10"/>
  <c r="B48" i="10"/>
  <c r="B47" i="10"/>
  <c r="B46" i="10"/>
  <c r="N35" i="10"/>
  <c r="M35" i="10"/>
  <c r="M27" i="17" l="1"/>
  <c r="B38" i="10"/>
  <c r="B39" i="10"/>
  <c r="B36" i="10"/>
  <c r="K37" i="17"/>
  <c r="P37" i="17"/>
  <c r="Q37" i="17" s="1"/>
  <c r="L37" i="17" s="1"/>
  <c r="M37" i="17" s="1"/>
  <c r="B37" i="10"/>
  <c r="P38" i="17"/>
  <c r="Q38" i="17" s="1"/>
  <c r="L38" i="17" s="1"/>
  <c r="M38" i="17" s="1"/>
  <c r="B35" i="10"/>
  <c r="B34" i="10"/>
  <c r="B32" i="10"/>
  <c r="B33" i="10"/>
  <c r="M32" i="10"/>
  <c r="M31" i="10"/>
  <c r="B31" i="10"/>
  <c r="M30" i="10"/>
  <c r="N30" i="10" s="1"/>
  <c r="B30" i="10"/>
  <c r="M29" i="10"/>
  <c r="B29" i="10"/>
  <c r="B28" i="10"/>
  <c r="B27" i="10"/>
  <c r="M23" i="10"/>
  <c r="K24" i="17"/>
  <c r="M24" i="17" s="1"/>
  <c r="D21" i="10"/>
  <c r="D22" i="10"/>
  <c r="D23" i="10"/>
  <c r="B23" i="10"/>
  <c r="O22" i="10"/>
  <c r="P22" i="10" s="1"/>
  <c r="M22" i="10"/>
  <c r="K22" i="17"/>
  <c r="Q21" i="10"/>
  <c r="N22" i="10"/>
  <c r="B22" i="10"/>
  <c r="P21" i="10"/>
  <c r="O21" i="10"/>
  <c r="N21" i="10"/>
  <c r="M21" i="10"/>
  <c r="B21" i="10"/>
  <c r="D17" i="10"/>
  <c r="D20" i="10"/>
  <c r="D16" i="10"/>
  <c r="B17" i="10"/>
  <c r="B20" i="10"/>
  <c r="M17" i="10"/>
  <c r="K17" i="17"/>
  <c r="M16" i="10"/>
  <c r="B16" i="10"/>
  <c r="B14" i="10"/>
  <c r="K13" i="17"/>
  <c r="B12" i="10"/>
  <c r="P40" i="17"/>
  <c r="Q40" i="17" s="1"/>
  <c r="L40" i="17" s="1"/>
  <c r="M40" i="17" s="1"/>
  <c r="P39" i="17"/>
  <c r="P58" i="17"/>
  <c r="P34" i="17"/>
  <c r="Q34" i="17" s="1"/>
  <c r="L34" i="17" s="1"/>
  <c r="M34" i="17" s="1"/>
  <c r="P36" i="17"/>
  <c r="Q36" i="17" s="1"/>
  <c r="L36" i="17" s="1"/>
  <c r="M36" i="17" s="1"/>
  <c r="R36" i="17"/>
  <c r="P49" i="17"/>
  <c r="Q49" i="17" s="1"/>
  <c r="L49" i="17" s="1"/>
  <c r="M49" i="17" s="1"/>
  <c r="T56" i="17"/>
  <c r="S56" i="17"/>
  <c r="P54" i="17"/>
  <c r="P45" i="17"/>
  <c r="Q45" i="17" s="1"/>
  <c r="P46" i="17"/>
  <c r="Q46" i="17" s="1"/>
  <c r="P47" i="17"/>
  <c r="Q47" i="17" s="1"/>
  <c r="P48" i="17"/>
  <c r="Q48" i="17" s="1"/>
  <c r="L48" i="17" s="1"/>
  <c r="M48" i="17" s="1"/>
  <c r="P52" i="17"/>
  <c r="P53" i="17"/>
  <c r="P55" i="17"/>
  <c r="P56" i="17"/>
  <c r="P57" i="17"/>
  <c r="Q57" i="17" s="1"/>
  <c r="L57" i="17" s="1"/>
  <c r="M57" i="17" s="1"/>
  <c r="P60" i="17"/>
  <c r="Q60" i="17" s="1"/>
  <c r="P61" i="17"/>
  <c r="Q61" i="17" s="1"/>
  <c r="P62" i="17"/>
  <c r="Q62" i="17" s="1"/>
  <c r="K48" i="17"/>
  <c r="Q52" i="17" l="1"/>
  <c r="L52" i="17" s="1"/>
  <c r="M52" i="17" s="1"/>
  <c r="Q53" i="17"/>
  <c r="L53" i="17" s="1"/>
  <c r="M53" i="17" s="1"/>
  <c r="Q56" i="17"/>
  <c r="L56" i="17" s="1"/>
  <c r="M56" i="17" s="1"/>
  <c r="Q54" i="17"/>
  <c r="L54" i="17" s="1"/>
  <c r="M54" i="17" s="1"/>
  <c r="Q55" i="17"/>
  <c r="L55" i="17" s="1"/>
  <c r="M55" i="17" s="1"/>
  <c r="Q58" i="17"/>
  <c r="L58" i="17" s="1"/>
  <c r="M58" i="17" s="1"/>
  <c r="Q39" i="17"/>
  <c r="L39" i="17" s="1"/>
  <c r="M39" i="17" s="1"/>
  <c r="M50" i="17"/>
  <c r="D20" i="12" s="1"/>
  <c r="P20" i="12" s="1"/>
  <c r="Q22" i="10"/>
  <c r="U56" i="17"/>
  <c r="M60" i="17" l="1"/>
  <c r="D23" i="12" s="1"/>
  <c r="P23" i="12" s="1"/>
  <c r="R29" i="17"/>
  <c r="P29" i="17"/>
  <c r="Q29" i="17" s="1"/>
  <c r="S17" i="17"/>
  <c r="R17" i="17"/>
  <c r="R13" i="17"/>
  <c r="U33" i="17"/>
  <c r="V33" i="17" s="1"/>
  <c r="W33" i="17" s="1"/>
  <c r="U32" i="17"/>
  <c r="V32" i="17" s="1"/>
  <c r="W32" i="17" s="1"/>
  <c r="U31" i="17"/>
  <c r="V31" i="17" s="1"/>
  <c r="W31" i="17" s="1"/>
  <c r="U23" i="17"/>
  <c r="L17" i="16"/>
  <c r="M17" i="16" s="1"/>
  <c r="T17" i="17" l="1"/>
  <c r="L29" i="17"/>
  <c r="M29" i="17" s="1"/>
  <c r="W34" i="17"/>
  <c r="R21" i="17"/>
  <c r="P21" i="17"/>
  <c r="Q21" i="17" s="1"/>
  <c r="P23" i="17"/>
  <c r="Q23" i="17" s="1"/>
  <c r="P13" i="17"/>
  <c r="Q13" i="17" l="1"/>
  <c r="L13" i="17" s="1"/>
  <c r="M13" i="17" s="1"/>
  <c r="L23" i="17"/>
  <c r="M23" i="17" s="1"/>
  <c r="L21" i="17"/>
  <c r="M21" i="17" s="1"/>
  <c r="J64" i="19"/>
  <c r="J60" i="19"/>
  <c r="K61" i="19" s="1"/>
  <c r="I71" i="19" s="1"/>
  <c r="J52" i="19"/>
  <c r="K52" i="19" s="1"/>
  <c r="J51" i="19"/>
  <c r="K51" i="19" s="1"/>
  <c r="J30" i="19"/>
  <c r="J31" i="19"/>
  <c r="J32" i="19"/>
  <c r="J29" i="19"/>
  <c r="J25" i="19"/>
  <c r="K26" i="19" s="1"/>
  <c r="I39" i="19" s="1"/>
  <c r="J16" i="19"/>
  <c r="K16" i="19" s="1"/>
  <c r="J17" i="19"/>
  <c r="K17" i="19" s="1"/>
  <c r="A79" i="19"/>
  <c r="B6" i="19"/>
  <c r="B5" i="19"/>
  <c r="K53" i="19" l="1"/>
  <c r="I69" i="19" s="1"/>
  <c r="K18" i="19"/>
  <c r="K21" i="19" s="1"/>
  <c r="K22" i="19" s="1"/>
  <c r="I38" i="19" s="1"/>
  <c r="K65" i="19"/>
  <c r="I72" i="19" s="1"/>
  <c r="K33" i="19"/>
  <c r="I40" i="19" s="1"/>
  <c r="P17" i="17"/>
  <c r="P18" i="17"/>
  <c r="P22" i="17"/>
  <c r="Q22" i="17" s="1"/>
  <c r="L22" i="17" s="1"/>
  <c r="M22" i="17" s="1"/>
  <c r="P28" i="17"/>
  <c r="Q28" i="17" s="1"/>
  <c r="L28" i="17" s="1"/>
  <c r="M28" i="17" s="1"/>
  <c r="P30" i="17"/>
  <c r="Q30" i="17" s="1"/>
  <c r="L30" i="17" s="1"/>
  <c r="M30" i="17" s="1"/>
  <c r="P31" i="17"/>
  <c r="Q31" i="17" s="1"/>
  <c r="L31" i="17" s="1"/>
  <c r="M31" i="17" s="1"/>
  <c r="P32" i="17"/>
  <c r="Q32" i="17" s="1"/>
  <c r="L32" i="17" s="1"/>
  <c r="M32" i="17" s="1"/>
  <c r="P33" i="17"/>
  <c r="Q33" i="17" s="1"/>
  <c r="L33" i="17" s="1"/>
  <c r="M33" i="17" s="1"/>
  <c r="P35" i="17"/>
  <c r="Q35" i="17" s="1"/>
  <c r="L35" i="17" s="1"/>
  <c r="M35" i="17" s="1"/>
  <c r="P43" i="17"/>
  <c r="Q43" i="17" s="1"/>
  <c r="L43" i="17" s="1"/>
  <c r="M43" i="17" s="1"/>
  <c r="P10" i="17"/>
  <c r="P9" i="17"/>
  <c r="Q9" i="17" l="1"/>
  <c r="L9" i="17" s="1"/>
  <c r="M9" i="17" s="1"/>
  <c r="Q10" i="17"/>
  <c r="L10" i="17" s="1"/>
  <c r="M10" i="17" s="1"/>
  <c r="Q18" i="17"/>
  <c r="L18" i="17" s="1"/>
  <c r="M18" i="17" s="1"/>
  <c r="Q17" i="17"/>
  <c r="L17" i="17" s="1"/>
  <c r="M17" i="17" s="1"/>
  <c r="I37" i="19"/>
  <c r="I41" i="19" s="1"/>
  <c r="I43" i="19" s="1"/>
  <c r="I44" i="19" s="1"/>
  <c r="I45" i="19" s="1"/>
  <c r="K56" i="19"/>
  <c r="K57" i="19" s="1"/>
  <c r="I70" i="19" s="1"/>
  <c r="I73" i="19" s="1"/>
  <c r="I75" i="19" s="1"/>
  <c r="I76" i="19" l="1"/>
  <c r="I77" i="19" s="1"/>
  <c r="B4" i="10"/>
  <c r="B3" i="10"/>
  <c r="A77" i="14"/>
  <c r="B5" i="14" l="1"/>
  <c r="B4" i="14"/>
  <c r="A33" i="16" l="1"/>
  <c r="B6" i="16"/>
  <c r="B5" i="16"/>
  <c r="B4" i="12"/>
  <c r="B3" i="12"/>
  <c r="A35" i="12"/>
  <c r="M45" i="17" l="1"/>
  <c r="M41" i="17" l="1"/>
  <c r="D14" i="12" s="1"/>
  <c r="D17" i="12"/>
  <c r="N17" i="12" s="1"/>
  <c r="A63" i="10"/>
  <c r="O17" i="12" l="1"/>
  <c r="L17" i="12"/>
  <c r="M17" i="12"/>
  <c r="J14" i="12"/>
  <c r="K14" i="12"/>
  <c r="M14" i="17"/>
  <c r="D11" i="12" l="1"/>
  <c r="M11" i="17"/>
  <c r="D8" i="12" l="1"/>
  <c r="I17" i="16"/>
  <c r="K17" i="16" s="1"/>
  <c r="I16" i="16"/>
  <c r="K16" i="16" s="1"/>
  <c r="I25" i="16"/>
  <c r="I24" i="16"/>
  <c r="K18" i="16" l="1"/>
  <c r="I23" i="16" s="1"/>
  <c r="I27" i="16" s="1"/>
  <c r="I29" i="16" s="1"/>
  <c r="I30" i="16" s="1"/>
  <c r="I31" i="16" s="1"/>
  <c r="L62" i="17" s="1"/>
  <c r="M62" i="17" l="1"/>
  <c r="M63" i="17" s="1"/>
  <c r="H11" i="12"/>
  <c r="M65" i="17" l="1"/>
  <c r="D26" i="12"/>
  <c r="I26" i="12" s="1"/>
  <c r="H8" i="12"/>
  <c r="I14" i="12"/>
  <c r="M26" i="12" l="1"/>
  <c r="M30" i="12" s="1"/>
  <c r="O26" i="12"/>
  <c r="O30" i="12" s="1"/>
  <c r="D30" i="12"/>
  <c r="D21" i="12" s="1"/>
  <c r="L26" i="12"/>
  <c r="L30" i="12" s="1"/>
  <c r="H26" i="12"/>
  <c r="H30" i="12" s="1"/>
  <c r="H31" i="12" s="1"/>
  <c r="K26" i="12"/>
  <c r="K30" i="12" s="1"/>
  <c r="J26" i="12"/>
  <c r="J30" i="12" s="1"/>
  <c r="N26" i="12"/>
  <c r="N30" i="12" s="1"/>
  <c r="P26" i="12"/>
  <c r="P30" i="12" s="1"/>
  <c r="I30" i="12"/>
  <c r="M32" i="12" l="1"/>
  <c r="D24" i="12"/>
  <c r="D27" i="12"/>
  <c r="L32" i="12"/>
  <c r="P32" i="12"/>
  <c r="N32" i="12"/>
  <c r="O32" i="12"/>
  <c r="D18" i="12"/>
  <c r="I31" i="12"/>
  <c r="J31" i="12" s="1"/>
  <c r="K31" i="12" s="1"/>
  <c r="L31" i="12" s="1"/>
  <c r="M31" i="12" s="1"/>
  <c r="N31" i="12" s="1"/>
  <c r="O31" i="12" s="1"/>
  <c r="P31" i="12" s="1"/>
  <c r="J32" i="12"/>
  <c r="K32" i="12"/>
  <c r="D15" i="12"/>
  <c r="H32" i="12"/>
  <c r="H33" i="12" s="1"/>
  <c r="D9" i="12"/>
  <c r="D12" i="12"/>
  <c r="I32" i="12"/>
  <c r="D32" i="12" l="1"/>
  <c r="I33" i="12"/>
  <c r="J33" i="12" s="1"/>
  <c r="K33" i="12" s="1"/>
  <c r="L33" i="12" s="1"/>
  <c r="M33" i="12" s="1"/>
  <c r="N33" i="12" s="1"/>
  <c r="O33" i="12" s="1"/>
  <c r="P33"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A43E7DD-09B4-4EFF-9FBC-650CF8A65C7C}">
      <text>
        <r>
          <rPr>
            <sz val="9"/>
            <color indexed="81"/>
            <rFont val="Segoe UI"/>
            <family val="2"/>
          </rPr>
          <t>Nome do Orgão  ou Empresa Executante</t>
        </r>
      </text>
    </comment>
    <comment ref="B9" authorId="1" shapeId="0" xr:uid="{66E0000F-2861-4E7C-A879-4B9752CDC7B4}">
      <text>
        <r>
          <rPr>
            <b/>
            <sz val="9"/>
            <color indexed="81"/>
            <rFont val="Tahoma"/>
            <family val="2"/>
          </rPr>
          <t>Escolha</t>
        </r>
        <r>
          <rPr>
            <sz val="9"/>
            <color indexed="81"/>
            <rFont val="Tahoma"/>
            <family val="2"/>
          </rPr>
          <t xml:space="preserve">
</t>
        </r>
      </text>
    </comment>
    <comment ref="B13" authorId="1" shapeId="0" xr:uid="{FAF55ECE-4B18-4BC1-B979-70C34B3C7CEF}">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51C595CD-A735-4484-B88F-1CAC3A5E46B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5F544DAB-D687-466F-8407-19139D18720E}">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16986D01-F28F-4410-A331-50F65F2BEECF}">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E33ADA19-78E6-4AA8-8473-9F5E9B6E584B}">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FB25C76C-4851-4F69-B357-26984A80CE22}">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18C0239F-F351-478C-9F65-281C6BB5BBE9}">
      <text>
        <r>
          <rPr>
            <sz val="10"/>
            <color indexed="81"/>
            <rFont val="Tahoma"/>
            <family val="2"/>
          </rPr>
          <t>COFINS (Contribuição para Financiamento da Seguridade Socia Financia a seguridade social pelo sistema S (SESC, SESI, SENAC, SENAI, SEST, SENAT, SENAR E SEBRAE).</t>
        </r>
      </text>
    </comment>
    <comment ref="C32" authorId="2" shapeId="0" xr:uid="{C3CBD8E3-FB78-440D-A5EB-D85D46C62A03}">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<sst xmlns="http://schemas.openxmlformats.org/spreadsheetml/2006/main" count="692" uniqueCount="381">
  <si>
    <t>ITEM</t>
  </si>
  <si>
    <t>ESPECIFICAÇÃO</t>
  </si>
  <si>
    <t>OBRA:</t>
  </si>
  <si>
    <t>LOCAL:</t>
  </si>
  <si>
    <t>UNID</t>
  </si>
  <si>
    <t>QUANT.</t>
  </si>
  <si>
    <t>PREÇOS EM REAL</t>
  </si>
  <si>
    <t>P. UNIT.</t>
  </si>
  <si>
    <t>P. TOTAL</t>
  </si>
  <si>
    <t>1.1</t>
  </si>
  <si>
    <t>m2</t>
  </si>
  <si>
    <t>INSTALAÇÃO DO CANTEIRO DE OBRAS</t>
  </si>
  <si>
    <t>SUBTOTAL</t>
  </si>
  <si>
    <t>2.1</t>
  </si>
  <si>
    <t>m3</t>
  </si>
  <si>
    <t>3.1</t>
  </si>
  <si>
    <t>3.2</t>
  </si>
  <si>
    <t>3.3</t>
  </si>
  <si>
    <t>4.1</t>
  </si>
  <si>
    <t>5.1</t>
  </si>
  <si>
    <t>5.2</t>
  </si>
  <si>
    <t>6.1</t>
  </si>
  <si>
    <t>und</t>
  </si>
  <si>
    <t>m</t>
  </si>
  <si>
    <t>TOTAL GERAL COM BDI INCLUSO</t>
  </si>
  <si>
    <t>Placa de obra nas dimensões de 2.0 x 4.0 m, padrão IOPES</t>
  </si>
  <si>
    <t xml:space="preserve">PREFEITURA MUNICIPAL DE VARGEM ALTA </t>
  </si>
  <si>
    <t>ESTADO DO ESPÍRITO SANTO</t>
  </si>
  <si>
    <t>Item</t>
  </si>
  <si>
    <t>1 - SERVIÇOS PRELIMINARES</t>
  </si>
  <si>
    <t>Unidade</t>
  </si>
  <si>
    <t>1 - MÃO DE OBRA</t>
  </si>
  <si>
    <t>UNID.</t>
  </si>
  <si>
    <t>COEFICIENTE</t>
  </si>
  <si>
    <t>P. UNITÁRIO</t>
  </si>
  <si>
    <t>TOTAL PARCIAL</t>
  </si>
  <si>
    <t>TOTAL A</t>
  </si>
  <si>
    <t>H</t>
  </si>
  <si>
    <t>UND</t>
  </si>
  <si>
    <t>RESUMO</t>
  </si>
  <si>
    <t>DISCRIMINAÇÃO</t>
  </si>
  <si>
    <t>TAXA</t>
  </si>
  <si>
    <t>VALORES</t>
  </si>
  <si>
    <t>MÃO DE OBRA (TOTAL A)</t>
  </si>
  <si>
    <t>MATERIAIS (TOTAL B)</t>
  </si>
  <si>
    <t>EQUIPAMENTOS (TOTAL C)</t>
  </si>
  <si>
    <t xml:space="preserve">SUBTOTAL </t>
  </si>
  <si>
    <t>TOTAL</t>
  </si>
  <si>
    <t>BDI SOBRE O TOTAL</t>
  </si>
  <si>
    <t>PREÇO UNITÁRIO CALCULADO</t>
  </si>
  <si>
    <t>GERALDO BRUNORO ESTEVES</t>
  </si>
  <si>
    <t>Obra:</t>
  </si>
  <si>
    <t>Local:</t>
  </si>
  <si>
    <t>MEMÓRIA DE CÁLCULO</t>
  </si>
  <si>
    <t>DESCRIÇÃO</t>
  </si>
  <si>
    <t>CÁLCULO</t>
  </si>
  <si>
    <t>1.2</t>
  </si>
  <si>
    <t>2</t>
  </si>
  <si>
    <t>3</t>
  </si>
  <si>
    <t>CREA-ES Nº 033738/D</t>
  </si>
  <si>
    <t>PREFEITO MUNICIPAL</t>
  </si>
  <si>
    <t>CREA-ES 033738/D</t>
  </si>
  <si>
    <t>%</t>
  </si>
  <si>
    <t>COFINS</t>
  </si>
  <si>
    <t>PIS</t>
  </si>
  <si>
    <t>PREFEITURA MUNICIPAL DE VARGEM ALTA</t>
  </si>
  <si>
    <t>ESTADO DO ESPIRITO SANTO</t>
  </si>
  <si>
    <t xml:space="preserve">PREFEITURA MUNICIPAL DE VARGEM ALTA                                                                     </t>
  </si>
  <si>
    <t>CRONOGRAMA FÍSICO - FINANCEIRO COM BARRAS</t>
  </si>
  <si>
    <t>VALOR DA OBRA                                                                                    E % FÍSICA</t>
  </si>
  <si>
    <t>TOTAL SIMPLES</t>
  </si>
  <si>
    <t>TOTAL ACUMULADO</t>
  </si>
  <si>
    <t>% SIMPLES</t>
  </si>
  <si>
    <t>% ACUMULADO</t>
  </si>
  <si>
    <t>MEMORIAL DESCRITIVO</t>
  </si>
  <si>
    <t>PROPONENTE:</t>
  </si>
  <si>
    <t>CONTRATO:</t>
  </si>
  <si>
    <t>1. Regime de Contribuição Previdenciária</t>
  </si>
  <si>
    <t>Com Desoneração</t>
  </si>
  <si>
    <t>2. Tipo de Intervenção</t>
  </si>
  <si>
    <t>3. Incidências sobre o custo</t>
  </si>
  <si>
    <t>4 – Incidências sobre o preço de venda</t>
  </si>
  <si>
    <t>Despesas Tributárias - I</t>
  </si>
  <si>
    <t>5 – Demonstrativo de cálculo do BDI</t>
  </si>
  <si>
    <t>CÓDIGO SINAPI</t>
  </si>
  <si>
    <t>_________________________________</t>
  </si>
  <si>
    <t>ADMINISTRAÇÃO LOCAL</t>
  </si>
  <si>
    <t>Administração do canteiro de obra</t>
  </si>
  <si>
    <t>CÓDIGO</t>
  </si>
  <si>
    <t>QUANTIDADE</t>
  </si>
  <si>
    <t>ENGENHEIRO CIVIL DE OBRA JUNIOR COM ENCARGOS COMPLEMENTARES</t>
  </si>
  <si>
    <t xml:space="preserve"> ENCARREGADO GERAL COM ENCARGOS COMPLEMENTARES</t>
  </si>
  <si>
    <t/>
  </si>
  <si>
    <t>Rede de luz, incl. padrão entrada de energia trifás., cabo de ligação até barracões, quadro de distrib., disj. e
chave de força (quando necessário), cons. 20m entre padrão entrada e QDG, conf. projeto (1 utilização)</t>
  </si>
  <si>
    <t>SERVIÇOS PRELIMINARES</t>
  </si>
  <si>
    <t>ILUMINAÇÃO</t>
  </si>
  <si>
    <t>3.4</t>
  </si>
  <si>
    <t>3.5</t>
  </si>
  <si>
    <t>3.6</t>
  </si>
  <si>
    <t>3.7</t>
  </si>
  <si>
    <t>3.8</t>
  </si>
  <si>
    <t>Poste galvanizado 101mm simples, fornecimento e instalação</t>
  </si>
  <si>
    <t>3.9</t>
  </si>
  <si>
    <t>Escada Próxima Padaria: 2,50 metros
Escada Próxima a Empresa de Granito: 2,50 metros
Total: 5,00 metros</t>
  </si>
  <si>
    <t xml:space="preserve"> 4,00 x 2,00= 8,00 m2</t>
  </si>
  <si>
    <t>Guarda corpo de tubo de ferro galvanizado, diâm. 3" e 2", h=0.8 m inclusive pintura a óleo ou esmalte</t>
  </si>
  <si>
    <t>3.10</t>
  </si>
  <si>
    <t>3.11</t>
  </si>
  <si>
    <t>7.1</t>
  </si>
  <si>
    <t xml:space="preserve">ENCARGOS SOCIAIS ADERIDO (128,33%) </t>
  </si>
  <si>
    <t>CPA</t>
  </si>
  <si>
    <t>1,00 unidade</t>
  </si>
  <si>
    <t>Placa de obra nas dimensões de 2.0 x 4.0 m, será em chapa de aço galvanizado.</t>
  </si>
  <si>
    <t>Será necessário uma entrada provisória de energia para execuções do serviço a serem executados seguindo as especificações do serviço apresentado no item.</t>
  </si>
  <si>
    <t>A administração do canteiro de obra será trabalhada durante todo o processo de execução dos serviços em planilha na função de garantir qualidade dos serviços com supervisão de profissionais capacitados.</t>
  </si>
  <si>
    <t>A fiscalização será efetuada pelo responsável técnico da prefeitura municipal, sendo que a empresa executora deverá seguir as seguintes diretrizes:</t>
  </si>
  <si>
    <t>FISCALIZAÇÃO</t>
  </si>
  <si>
    <t>* manter em obra bloco de diário de obras (com folhas em três vias) para anotações das ocorrências diária do avanço físico e as principais ocorrências da obra, serviços efetuados no dia, quantidade e tipo de mão de obra, espaço específico para  anotações da fiscalização;</t>
  </si>
  <si>
    <t>* manter em obra 01 via impressa de todos os projetos executivos;</t>
  </si>
  <si>
    <t>* deverão ser moldados corpos de prova do concreto (prova e contraprova) e realizado o slump teste no ato da concretagem, sendo que deverá ser realizado o mapeamento da aplicação do concreto caso seja utilizado mais de um  lote (caminhão), para rastreabilidade.</t>
  </si>
  <si>
    <t>* deverão ser entregues os laudos de resistência do concreto e do aço utilizados na execução da obra;</t>
  </si>
  <si>
    <t>* a empresa executora deverá comunicar a fiscalização, com antecedência de 48 horas, a realização de concretagens para que a fiscalização possa realizar a vistoria nas formas e armações de aço;</t>
  </si>
  <si>
    <t>EQUIPAMENTOS DE SEGURANÇA</t>
  </si>
  <si>
    <t>É de responsabilidade da empresa executora o fornecimento dos equipamentos de segurança necessários a execução dos serviço, assim como o fornecimento de uniformes e EPI´s aos funcionários.</t>
  </si>
  <si>
    <t>SERVIÇOS COMPLEMENTARES</t>
  </si>
  <si>
    <t>Na conclusão dos serviços, para seu recebimento, deverão ser retiradas todas as sinalizações utilizadas para a proteção contra acidentes e realizar  a  limpeza  completa de todos os locais aonde foram executados os trabalhos.</t>
  </si>
  <si>
    <t>COMPOSIÇÃO DE PREÇO AUXILIAR</t>
  </si>
  <si>
    <t>DETALHAMENTO DO BDI</t>
  </si>
  <si>
    <t>Prefeitura de Vargem Alta</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</si>
  <si>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</si>
  <si>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</si>
  <si>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</si>
  <si>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</si>
  <si>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</si>
  <si>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CREA - ES 033738/D</t>
  </si>
  <si>
    <t>Nome</t>
  </si>
  <si>
    <t>Cargo</t>
  </si>
  <si>
    <t>Prefeito Municipal</t>
  </si>
  <si>
    <t>ANDAMENTO EM MESES</t>
  </si>
  <si>
    <t>LICITAÇÃO</t>
  </si>
  <si>
    <t>Leis Sociais: 157,27%      BDI: 34,52%</t>
  </si>
  <si>
    <t>M</t>
  </si>
  <si>
    <t>Pedreiro de O.A.C.</t>
  </si>
  <si>
    <t xml:space="preserve">Servente </t>
  </si>
  <si>
    <t>CONSUMO</t>
  </si>
  <si>
    <t>ENCARGOS</t>
  </si>
  <si>
    <t>SAL/HORA</t>
  </si>
  <si>
    <t>CUSTO HORARIO</t>
  </si>
  <si>
    <t>EQ SALAR</t>
  </si>
  <si>
    <t>2 - ITENS DE INCIDÊNCIA</t>
  </si>
  <si>
    <t>Ferramentas Manuais</t>
  </si>
  <si>
    <t>Cód. Padrao</t>
  </si>
  <si>
    <t>M.O</t>
  </si>
  <si>
    <t>XXXX</t>
  </si>
  <si>
    <t>CUSTO</t>
  </si>
  <si>
    <t>TOTAL B</t>
  </si>
  <si>
    <t>TOTAL C</t>
  </si>
  <si>
    <t>3 - MATERIAIS</t>
  </si>
  <si>
    <t xml:space="preserve">Tubo de concreto s/ armaçao D=0,30m PB </t>
  </si>
  <si>
    <t>CUSTO UNITÁRIO</t>
  </si>
  <si>
    <t>CUSTO TOTAL</t>
  </si>
  <si>
    <t>M3</t>
  </si>
  <si>
    <t>Argamassa cimento e areia traço 1:4, tudo incluído</t>
  </si>
  <si>
    <t>Escavação manual em mat. 1ª cat. H= 0,00 a 1,50 m</t>
  </si>
  <si>
    <t>Escavação mecânica em material de 1ª cat. H= 0,00 a 1,50 m</t>
  </si>
  <si>
    <t>Reaterro de cavas c/ compactação mecânica (compactador manual)</t>
  </si>
  <si>
    <t>ITENS DE INCIDÊNCIA (TOTAL B)</t>
  </si>
  <si>
    <t>MATERIAIS (TOTAL C)</t>
  </si>
  <si>
    <t>SERVIÇOS (TOTAL D)</t>
  </si>
  <si>
    <t>3 - ILUMINAÇÃO</t>
  </si>
  <si>
    <t>Poste galvanizado 101mm simples, h= 6,0 m para semáforo</t>
  </si>
  <si>
    <t>3 - SERVIÇOS</t>
  </si>
  <si>
    <t>3 - EQUIPAMENTOS</t>
  </si>
  <si>
    <t>Caminhão carroceria L 1319 PBT=13,9t (TOCO 8,0t)</t>
  </si>
  <si>
    <t>QUANT</t>
  </si>
  <si>
    <t>UT. PR</t>
  </si>
  <si>
    <t>UT. IMPR</t>
  </si>
  <si>
    <t>VAL. PROD</t>
  </si>
  <si>
    <t>VAL. IMPROD</t>
  </si>
  <si>
    <t>CONSTRUÇÃO DE ESTAÇÃO DE TRATAMENTO DE ÁGUA DE CASTELINHO</t>
  </si>
  <si>
    <t>CASTELINHO- VARGEM ALTA - ES</t>
  </si>
  <si>
    <t>ESTAÇÃO DE TRATAMENTO DE ÁGUA</t>
  </si>
  <si>
    <t>Lastro regularizado e impermeabilizado de concreto não estrutural, espessura de 8 cm</t>
  </si>
  <si>
    <t>Impermeabilização nas seguintes etapas: chapisco traço 1:2 c/ sika 1 ou equivalente, revest. duplo c/
argamassa de cimento e areia traço 1:3 c/ sika 1 ou equivalente, em 2x15 mm e acab. argamassa 1:1</t>
  </si>
  <si>
    <t xml:space="preserve">CALHA PARSHALL PADRAO FIBRA VIDRO W=3" </t>
  </si>
  <si>
    <t>Fornecimento e Assentamento de todo o Material de Ferro Fundido para Interligação inclusive Registros de Gaveta</t>
  </si>
  <si>
    <t>kg</t>
  </si>
  <si>
    <t>3.12</t>
  </si>
  <si>
    <t>3.13</t>
  </si>
  <si>
    <t xml:space="preserve"> AREIA PARA FILTRO TE=0,50MM CU=1,5MM </t>
  </si>
  <si>
    <t>SEIXO ROLADO PARA FILTRO 3,2MMX2,0MM</t>
  </si>
  <si>
    <t>SEIXO ROLADO PARA FILTRO 6,3MMX3,2MM</t>
  </si>
  <si>
    <t>SEIXO ROLADO PARA FILTRO 12,7MMX6,3MM</t>
  </si>
  <si>
    <t xml:space="preserve">SEIXO ROLADO PARA FILTRO 19MMX12,7MM </t>
  </si>
  <si>
    <t>GUARDA CORPO</t>
  </si>
  <si>
    <t xml:space="preserve">7160100330
CESAN </t>
  </si>
  <si>
    <t>7230100160
CESAN</t>
  </si>
  <si>
    <t>7230100150 
CESAN</t>
  </si>
  <si>
    <t>7230100140
CESAN</t>
  </si>
  <si>
    <t>7230100130
CESAN</t>
  </si>
  <si>
    <t>7230100120
CESAN</t>
  </si>
  <si>
    <t>IAN BISMARCK FAGUNDES BETINI</t>
  </si>
  <si>
    <t>ELIESER RABELLO</t>
  </si>
  <si>
    <t>CREA-ES 048975/D</t>
  </si>
  <si>
    <t>3.14</t>
  </si>
  <si>
    <t>3.15</t>
  </si>
  <si>
    <t xml:space="preserve">ESTRUTURA EM MADEIRA DE LEI </t>
  </si>
  <si>
    <t>3.16</t>
  </si>
  <si>
    <t>6.2</t>
  </si>
  <si>
    <t>RESERVATÓRIO DE 75M3</t>
  </si>
  <si>
    <t>MOVIMENTO DE TERRA</t>
  </si>
  <si>
    <t>INFRAESTRUTURA</t>
  </si>
  <si>
    <t>6.3</t>
  </si>
  <si>
    <t>6.4</t>
  </si>
  <si>
    <t>6.5</t>
  </si>
  <si>
    <t>ESCORAMENTO DE VALA, TIPO CONTÍNUO, COM PROFUNDIDADE DE 3,0 A 4,5 M, L</t>
  </si>
  <si>
    <t>101587
SINAPI</t>
  </si>
  <si>
    <t>3.17</t>
  </si>
  <si>
    <t>Leis Sociais: 157,27%      BDI: 26,19%</t>
  </si>
  <si>
    <t>6.6</t>
  </si>
  <si>
    <t>6.7</t>
  </si>
  <si>
    <t>3.18</t>
  </si>
  <si>
    <t>3.19</t>
  </si>
  <si>
    <t>(8,50x2,65x3,65)+(0,40x6,20x0,20)+(3,95x6,48x1,70)+ (1,75x0,86x0,86x2)= 128,81m3</t>
  </si>
  <si>
    <t>Filtros: ((1,60+1,00)x2x4x4,55)+((2,15+1,20)x2x4,45)+(1,60x1,00x4)+ (2,15x1,20x2)+((0,40+2,75+1,03+0,40+2,75+1,03)x1,00)+((2,35+5,00+2,35)x1,15)+(3,75x1,85)+(0,40x2,75x2)+(5,00x0,40)= 166,67m2
Decantador: (2,30x0,30)+(0,30x2,30)+((2,30+0,30+0,30)x0,50) +((2,30+5,50+5,50+2,30)x2,35)+(5,65x2,30)+(0,70x1,50x2)= 54,59m2
Floculador: ((0,15+0,15+0,62+0,70+0,15+0,40+3,59+0,55+0,07) x0,50)+(3,60x0,40)+((3,29+3,29+1,00+1,00)x2,20)+(3,29x1,00)= 26,80m2
Captação e Calha Parshall: (1,00x4x1,80)+(0,50x1,20)+(0,50+1,20)x0,50)= 8,65m2
Externo: ((6,00+2,96+2,95+1,13+1,13)x4,70)+((1,30+1,30+1,10+1,10) x2,35x2,00)+(5,80x2,80)+(0,48x0,58x2)+(3,75x2,35)+(3,29x2,35)+ (1,04+1,04+0,91)x1,30)+(0,76x1,21)+(1,30x1,95)+(3,65x1,85)= 129,84m2
Passadilho e Escadas: ((5,20+1,63+6,13+1,85)x0,60)+(0,18x0,60x10)= 9,97m2
Total:166,67+54,59+28,80+8,65+129,84+9,97= 398,52m2</t>
  </si>
  <si>
    <t>Chincanas:(0,02x0,02x2,90x8)+(0,02x0,02x2,20x20)= 0,03m3 Estrutura Decantador e Comportas:  (0,12x0,15x2,30x4)+ (0,12x0,15x5,10x3)+((0,55+0,63+0,71+0,64)x3x0,08x0,08)+(1,44x0,32x0,03x4)+((0,27+0,27)x0,08x0,02x8)= 0,58m3</t>
  </si>
  <si>
    <t>3 - ESTAÇÃO DE TRATAMENTO DE ÁGUA</t>
  </si>
  <si>
    <t>020305
DER-ES</t>
  </si>
  <si>
    <t>020713
DER-ES</t>
  </si>
  <si>
    <t>100102
DER-ES</t>
  </si>
  <si>
    <t>141910
DER-ES</t>
  </si>
  <si>
    <t>Divisórias: (2,90+2,90+2,20+2,20+2,20+2,20+2,20)x1,00= 16,80m2</t>
  </si>
  <si>
    <t>Externo: ((6,00+2,96+2,95+1,13+1,13)x4,70)+((1,30+1,30+1,10+1,10) x2,35x2,00)+(5,80x2,80)+(0,48x0,58x2)+(3,75x2,35)+(3,29x2,35)+ (1,04+1,04+0,91)x1,30)+(0,76x1,21)+(1,30x1,95)+(3,65x1,85)= 129,84m2
Passadilho e Escadas: ((5,20+1,63+6,13+1,85)x0,60)+(0,18x0,60x10)= 9,97m2
Total: 129,84+9,97= 139,81m2</t>
  </si>
  <si>
    <t>Utilização por Filtro= 0,96m3 x 4und= 3,84m3</t>
  </si>
  <si>
    <t>Utilização por Filtro= 0,24m3 x 4und= 0,96m3</t>
  </si>
  <si>
    <t>Utilização por Filtro= 0,16m3 x 4und= 0,64m3</t>
  </si>
  <si>
    <t>3.20</t>
  </si>
  <si>
    <t>Tubulação de Captação para encaminhamento de água a ser tratada: 1,00+1,80+2,80+6,01+6,08+3,00= 20,81m</t>
  </si>
  <si>
    <t>3.21</t>
  </si>
  <si>
    <t>0,40+0,50= 0,90m</t>
  </si>
  <si>
    <t>Encaminhamento de saída para descargas para ponto existente:40,00 metros</t>
  </si>
  <si>
    <t>1,60x6,00x4,00= 38,40m
Tubo Filtros Viga: 0,15 x 4,00 vigas x 6 unds viga x 4,00 filtros= 14,40m
Total: 38,40+14,40m= 52,80m</t>
  </si>
  <si>
    <t>RESERVATÓRIO 75m3</t>
  </si>
  <si>
    <t>6,00x6,00x3,00= 108,00m3</t>
  </si>
  <si>
    <t>6,00 x 6,00 x 4,00 lados= 144,00m2</t>
  </si>
  <si>
    <t>Conforme projeto: 20,00m3</t>
  </si>
  <si>
    <t>Conforme projeto: 157,00m2</t>
  </si>
  <si>
    <t>Conforme projeto: 1.240,00kg</t>
  </si>
  <si>
    <t>Conforme projeto: 25,00kg</t>
  </si>
  <si>
    <t>Conforme projeto:216,00m2</t>
  </si>
  <si>
    <t>Conforme projeto: 1,00 unidade</t>
  </si>
  <si>
    <t>3.22</t>
  </si>
  <si>
    <t>MERCADO</t>
  </si>
  <si>
    <t>REGISTRO DE GAVETA DE FERRO FUNDIDO DE 150mm com cabeçote</t>
  </si>
  <si>
    <t>REGISTRO DE GAVETA DE FERRO FUNDIDO DE 100mm com cabeçote</t>
  </si>
  <si>
    <t>Tubo de aço galvanizado, inclusive conexões, diâm. 100mm(4")</t>
  </si>
  <si>
    <t xml:space="preserve">141218
DER-ES </t>
  </si>
  <si>
    <t>0,55+0,55</t>
  </si>
  <si>
    <t>3.23</t>
  </si>
  <si>
    <t>3.24</t>
  </si>
  <si>
    <t>4,00 unidades</t>
  </si>
  <si>
    <t>2,00 unidades</t>
  </si>
  <si>
    <t>Conforme Projeto: 0,55+0,55= 1,10m
1,30+1,30+1,30+1,30+0,20+0,20+0,20+0,20= 6,00m
Total Geral: 1,10+6,00= 7,10m</t>
  </si>
  <si>
    <t>7160100180 
CESAN</t>
  </si>
  <si>
    <t>Será executado locação de obra com gabarito de madeira para a execução da estação de tratamento de água e o reservatório em concreto armado.</t>
  </si>
  <si>
    <t>(8,30 x 2,85)+(6,28x4,58)= 23,66+28,76= 52,42m2
Reservatório: 6,00x6,00= 36,00m2
Total Geral: 52,42+36,00= 88,42m2</t>
  </si>
  <si>
    <t>Será executado o fornecimento, preparo e aplicação de concreto Fck=25 MPa (brita 1 e 2)  com 5% de perdas já incluído no custos para a concretagem da estação de tratamento de água.</t>
  </si>
  <si>
    <t>ESTRUTURA EM CONCRETO ARMADO E SERVIÇOS GERAIS DIVERSOS</t>
  </si>
  <si>
    <t>Será executado o fornecimento, dobragem e colocação em fôrma, de armadura CA-50 A grossa diâmetro de 12.5 a 25.0 mm (1/2 a 1") para a execução em concreto armado das paredes de contensão da estação de tratamento.</t>
  </si>
  <si>
    <t>Será executado lastro regularizado e impermeabilizado de concreto não estrutural, espessura de 8 cm no fundo de toda a área que será executada a estação de tratamento de água.</t>
  </si>
  <si>
    <t>Será realizado a impermeabilização de toda a estrutura interna e externa em concreto armado seguindo as seguintes etapas: chapisco traço 1:2 c/ sika 1 ou equivalente, revest. duplo c/ argamassa de cimento e areia traço 1:3 c/ sika 1 ou equivalente, em 2x15 mm e acab. argamassa 1:1</t>
  </si>
  <si>
    <t>Será executado fôrma de tábua de madeira de 2.5x30.0cm, incluindo o material, corte, montagem, escoramento e desforma para a realização de toda a estrutura em concreto armado.</t>
  </si>
  <si>
    <t xml:space="preserve">Será executado estrutura em madeira de lei os apoios conforme apresentados em projeto seguindo  as devidas dimensões. </t>
  </si>
  <si>
    <t>Será instalado registro de gaveta de ferro fundido de 150mm com cabeçote conforme projeto.</t>
  </si>
  <si>
    <t>Será instalado registro de gaveta de ferro fundido de 100mm com cabeçote conforme projeto.</t>
  </si>
  <si>
    <t>Será executado tubo de aço galvanizado, inclusive conexões com diâmetro de  100mm(4") conforme projetos apresentados.</t>
  </si>
  <si>
    <t>Será instalada calha parshall padrão em fibra de vidro W=3" conforme projeto.</t>
  </si>
  <si>
    <t>Será executado divisória de granito com 3 cm de espessura, assentada com argamassa de cimento e areia no traço 1:3, na cor cinza para execução das chicanas.</t>
  </si>
  <si>
    <t>Será executado pintura com tinta acrílica Suvinil, Coral ou Metalatex, inclusive selador acrílico, em paredes externas a três demãos.</t>
  </si>
  <si>
    <t>Será instalado nos filtros areia para filtro TE= 0,50mm CU=1,5MM para a filtragem da água no processo do tratamento.</t>
  </si>
  <si>
    <t>Será instalado nos filtros seixo rolado para filtro com as seguintes granulometrias de 19,0mm x 12,7mm.</t>
  </si>
  <si>
    <t>Será instalado nos filtros seixo rolado para filtro com as seguintes granulometrias de 12,7mm x 6,3mm.</t>
  </si>
  <si>
    <t>Será instalado nos filtros seixo rolado para filtro com as seguintes granulometrias de 6,3mm x 3,2mm.</t>
  </si>
  <si>
    <t>Será instalado nos filtros seixo rolado para filtro com as seguintes granulometrias de 3,2mm x 2,0mm.</t>
  </si>
  <si>
    <t>Será executado tubo de PVC rígido soldável marrom com diâmatro de  20mm (1/2"), inclusive conexões para a interligações do sistema conforme projeto.</t>
  </si>
  <si>
    <t>Será executado tubo de PVC rígido soldável marrom com diâmatro de  50mm (1 1/2"), inclusive conexões para a interligações do sistema conforme projeto.</t>
  </si>
  <si>
    <t>Será executado tubo de PVC rígido soldável marrom com diâmatro de  75mm (2 1/2"), inclusive conexões para a interligações do sistema conforme projeto.</t>
  </si>
  <si>
    <t>Será executado tubo de PVC rígido soldável marrom com diâmatro de  100mm (4"), inclusive conexões para a interligações do sistema conforme projeto.</t>
  </si>
  <si>
    <t>Será executado tubo de PVC rígido soldável marrom com diâmatro de  150mm (6"), inclusive conexões para a interligações do sistema conforme projeto.</t>
  </si>
  <si>
    <t>O guarda corpo será em tubo de ferro galvanizado, diâm. 3" e 2", com altura de 0.80 m inclusive pintura a óleo ou esmalte.</t>
  </si>
  <si>
    <t>RESERVATÓRIO 75M3</t>
  </si>
  <si>
    <t>A escavação manual será realizado em material de 1a. categoria para a execução do sistema de tratamento de água com as profundidades previstas em projeto.</t>
  </si>
  <si>
    <t>A escavação manual será realizado em material de 1a. categoria, até 1.50m de profundidade para a execução do reservatório de água com a profundidade previstas em projeto.</t>
  </si>
  <si>
    <t>Será executado escoramento de vala do tipo contínuo nas estremidades de solo para a execução do reservatório garantindo a segurança e estabilidade do solo local.</t>
  </si>
  <si>
    <t>Será executado o fornecimento, preparo e aplicação de concreto Fck=25 MPa (brita 1 e 2)  com 5% de perdas já incluído no custos para a concretagem do reservatório de água.</t>
  </si>
  <si>
    <t>Será executado o fornecimento, dobragem e colocação em fôrma, de armadura CA-50 A grossa diâmetro de 6.3 a 10.0 mm para a execução em concreto armado das paredes de contensão da estação de tratamento.</t>
  </si>
  <si>
    <t>6.8</t>
  </si>
  <si>
    <t>Será realizado a impermeabilização de toda a estrutura interna em concreto armado seguindo as seguintes etapas: chapisco traço 1:2 c/ sika 1 ou equivalente, revest. duplo c/ argamassa de cimento e areia traço 1:3 c/ sika 1 ou equivalente, em 2x15 mm e acab. argamassa 1:1</t>
  </si>
  <si>
    <t>Será executado tampao F.F. articulado pesado para visita interna no reservatório de água.</t>
  </si>
  <si>
    <t>Conforme projeto: 20,00m</t>
  </si>
  <si>
    <t>Tubo de aço galvanizado com diâmetro 100mm (4"), inclusive conexões para o devido encaminhamento a rede existente de distribuição de água.</t>
  </si>
  <si>
    <r>
      <t>Administração Central -</t>
    </r>
    <r>
      <rPr>
        <b/>
        <sz val="10"/>
        <rFont val="Arial"/>
        <family val="2"/>
      </rPr>
      <t xml:space="preserve"> AC</t>
    </r>
  </si>
  <si>
    <r>
      <t>Lucro -</t>
    </r>
    <r>
      <rPr>
        <b/>
        <sz val="10"/>
        <rFont val="Arial"/>
        <family val="2"/>
      </rPr>
      <t xml:space="preserve"> L</t>
    </r>
  </si>
  <si>
    <t>INSS</t>
  </si>
  <si>
    <r>
      <t xml:space="preserve">BDI=    </t>
    </r>
    <r>
      <rPr>
        <u/>
        <sz val="10"/>
        <rFont val="Arial"/>
        <family val="2"/>
      </rPr>
      <t>(1+(AC+S+R+G))(1+DF)(1+L))</t>
    </r>
    <r>
      <rPr>
        <sz val="10"/>
        <rFont val="Arial"/>
        <family val="2"/>
      </rPr>
      <t xml:space="preserve">  -1 =</t>
    </r>
  </si>
  <si>
    <t>( 1- I )</t>
  </si>
  <si>
    <t>Redes de Água</t>
  </si>
  <si>
    <t>BDI = 31,96 %                                                      Leis Sociais= 157,27%</t>
  </si>
  <si>
    <t>LOCACAO CONVENCIONAL DE OBRA, UTILIZANDO GABARITO DE TÁBUAS CORRIDAS PONTALETADAS A CADA 2,00M - 2 UTILIZAÇÕES. AF_10/2018</t>
  </si>
  <si>
    <t>99059
SINAPI</t>
  </si>
  <si>
    <t>ESCAVAÇÃO MANUAL DE VALA COM PROFUNDIDADE MENOR OU IGUAL A 1,30 M. AF_03/2016</t>
  </si>
  <si>
    <t>93358
SINAPI</t>
  </si>
  <si>
    <t>ARMAÇÃO DE PILAR OU VIGA DE UMA ESTRUTURA CONVENCIONAL DE CONCRETO ARMADO EM UMA EDIFICAÇÃO TÉRREA OU SOBRADO UTILIZANDO AÇO CA-50 DE 12,5 MM - MONTAGEM. AF_12/2015</t>
  </si>
  <si>
    <t>92779
SINAPI</t>
  </si>
  <si>
    <t>LASTRO DE CONCRETO MAGRO, APLICADO EM PISOS OU RADIERS. AF_08/2017</t>
  </si>
  <si>
    <t>96620
SINAPI</t>
  </si>
  <si>
    <t>FABRICAÇÃO, MONTAGEM E DESMONTAGEM DE FORMA PARA RADIER, EM MADEIRA SERRADA, 4 UTILIZAÇÕES. AF_09/2017</t>
  </si>
  <si>
    <t>97086
SINAPI</t>
  </si>
  <si>
    <t>APLICAÇÃO MANUAL DE PINTURA COM TINTA TEXTURIZADA ACRÍLICA EM SUPERFÍCIES EXTERNAS DE SACADA DE EDIFÍCIOS DE MÚLTIPLOS PAVIMENTOS, UMA COR.AF_06/2014</t>
  </si>
  <si>
    <t>88420
SINAPI</t>
  </si>
  <si>
    <t>TUBO, PVC, SOLDÁVEL, DN 20MM, INSTALADO EM RAMAL OU SUB-RAMAL DE ÁGUA - FORNECIMENTO E INSTALAÇÃO. AF_12/2014</t>
  </si>
  <si>
    <t>89355
SINAPI</t>
  </si>
  <si>
    <t>TUBO PVC, SÉRIE R, ÁGUA PLUVIAL, DN 50 MM, FORNECIDO E INSTALADO EM RAMAL DE ENCAMINHAMENTO. AF_12/2014</t>
  </si>
  <si>
    <t>89509
SINAPI</t>
  </si>
  <si>
    <t>TUBO PVC, SÉRIE R, ÁGUA PLUVIAL, DN 75 MM, FORNECIDO E INSTALADO EM RAMAL DE ENCAMINHAMENTO. AF_12/2014</t>
  </si>
  <si>
    <t>89511
SINAPI</t>
  </si>
  <si>
    <t>TUBO PVC, SÉRIE R, ÁGUA PLUVIAL, DN 100 MM, FORNECIDO E INSTALADO EM RAMAL DE ENCAMINHAMENTO. AF_12/2014</t>
  </si>
  <si>
    <t>89512
SINAPI</t>
  </si>
  <si>
    <t>TUBO PVC, SÉRIE R, ÁGUA PLUVIAL, DN 150 MM, FORNECIDO E INSTALADO EM CONDUTORES VERTICAIS DE ÁGUAS PLUVIAIS. AF_12/2014</t>
  </si>
  <si>
    <t>89580
SINAPI</t>
  </si>
  <si>
    <t>GUARDA-CORPO DE AÇO GALVANIZADO DE 1,10M, MONTANTES TUBULARES DE 1.1/4" ESPAÇADOS DE 1,20M, TRAVESSA SUPERIOR DE 1.1/2", GRADIL FORMADO POR TUBOS HORIZONTAIS DE 1" E VERTICAIS DE 3/4", FIXADO COM CHUMBADOR MECÂNICO. AF_04/2019_P</t>
  </si>
  <si>
    <t>99837
SINAPI</t>
  </si>
  <si>
    <t>4.2</t>
  </si>
  <si>
    <t>PINTURA COM TINTA ALQUÍDICA DE FUNDO (TIPO ZARCÃO) PULVERIZADA SOBRE PERFIL METÁLICO EXECUTADO EM FÁBRICA (POR DEMÃO). AF_01/2020</t>
  </si>
  <si>
    <t>100719
SINAPI</t>
  </si>
  <si>
    <t xml:space="preserve">Guarda Corpo Tratamento:(4,97+1,97+2,48+1,97 +1,97+2,48+1,97+1,97+1,97+3,25+6,33+0,60+1,10+5,73+2,35 +1,75+0,65+1,24+1,30+1,30+3,04+3,04= 53,40m
</t>
  </si>
  <si>
    <t>Guarda Corpo Tratamento:(4,97+1,97+2,48+1,97+1,97+2,48+1,97+1,97+1,97+3,25 +6,33+0,60+1,10+5,73+2,35+1,75+0,65+1,24+1,30+1,30+3,04+3,04= 53,40m x 1,10m= 58,74m2</t>
  </si>
  <si>
    <t>ARMAÇÃO DE PILAR OU VIGA DE UMA ESTRUTURA CONVENCIONAL DE CONCRETO ARMADO EM UMA EDIFICAÇÃO TÉRREA OU SOBRADO UTILIZANDO AÇO CA-50 DE 10,0 MM - MONTAGEM. AF_12/2015</t>
  </si>
  <si>
    <t>92778
SINAPI</t>
  </si>
  <si>
    <t>TAMPAO FOFO SIMPLES COM BASE, CLASSE D400 CARGA MAX 40 T, REDONDO TAMPA 600MM, REDE PLUVIAL/ESGOTO</t>
  </si>
  <si>
    <t>06240
SINAPI</t>
  </si>
  <si>
    <t>6,00 x 6,00= 36,00m2 x 0,08m= 2,88m3</t>
  </si>
  <si>
    <r>
      <t>Riscos, Seguros e Garantias Contratuais -</t>
    </r>
    <r>
      <rPr>
        <b/>
        <sz val="10"/>
        <rFont val="Arial"/>
        <family val="2"/>
      </rPr>
      <t xml:space="preserve"> R+S+G</t>
    </r>
  </si>
  <si>
    <r>
      <t>Administração Local -</t>
    </r>
    <r>
      <rPr>
        <b/>
        <sz val="10"/>
        <rFont val="Arial"/>
        <family val="2"/>
      </rPr>
      <t xml:space="preserve"> S+G</t>
    </r>
  </si>
  <si>
    <r>
      <t xml:space="preserve">Custos Financeiros - </t>
    </r>
    <r>
      <rPr>
        <b/>
        <sz val="10"/>
        <rFont val="Arial"/>
        <family val="2"/>
      </rPr>
      <t>CF</t>
    </r>
  </si>
  <si>
    <t>CONCRETO FCK = 40MPA, TRAÇO 1:1,6:1,9 (CIMENTO/ AREIA MÉDIA/ BRITA 1) - PREPARO MECÂNICO COM BETONEIRA 400 L. AF_07/2016</t>
  </si>
  <si>
    <t>94967
SINAPI</t>
  </si>
  <si>
    <t>CONCRETO FCK = 15MPA, TRAÇO 1:3,4:3,5 (CIMENTO/ AREIA MÉDIA/ BRITA 1) - PREPARO MECÂNICO COM BETONEIRA 600 L. AF_07/2016</t>
  </si>
  <si>
    <t>94969 
SINAPI</t>
  </si>
  <si>
    <t>Conforme Projeto Estrutural: 50,60m3</t>
  </si>
  <si>
    <t>Conforme Projeto Estrutural: 2,10m3</t>
  </si>
  <si>
    <t>3.25</t>
  </si>
  <si>
    <t>ARMAÇÃO DE ESTRUTURAS DE CONCRETO ARMADO, EXCETO VIGAS, PILARES, LAJES E FUNDAÇÕES, UTILIZANDO AÇO CA-50 DE 6,3 MM - MONTAGEM. AF_12/2015</t>
  </si>
  <si>
    <t>92916  
SINAPI</t>
  </si>
  <si>
    <t>ARMAÇÃO DE ESTRUTURAS DE CONCRETO ARMADO, EXCETO VIGAS, PILARES, LAJES E FUNDAÇÕES, UTILIZANDO AÇO CA-50 DE 8,0 MM - MONTAGEM. AF_12/2015</t>
  </si>
  <si>
    <t>92917 
SINAPI</t>
  </si>
  <si>
    <t>ARMAÇÃO DE ESTRUTURAS DE CONCRETO ARMADO, EXCETO VIGAS, PILARES, LAJES E FUNDAÇÕES, UTILIZANDO AÇO CA-50 DE 10,0 MM - MONTAGEM. AF_12/2015</t>
  </si>
  <si>
    <t>92919 
SINAPI</t>
  </si>
  <si>
    <t>Conforme Projeto Estrutural: 2.201,00kg</t>
  </si>
  <si>
    <t>Conforme Projeto Estrutural: 202,00kg</t>
  </si>
  <si>
    <t xml:space="preserve">Coforme Projeto Estrutural: 424,00 m2 </t>
  </si>
  <si>
    <t>Será executado toda a estrutura em concreto com fck 40 Mpa no traço de 1:1:6:1:9 com cimento, areia média e brita 1 com seu preparo mecânico com betoneira 400l.</t>
  </si>
  <si>
    <t>DIVISORIA SANITÁRIA, TIPO CABINE, EM GRANITO CINZA POLIDO, ESP = 3CM, ASSENTADO COM ARGAMASSA COLANTE AC III-E, EXCLUSIVE FERRAGENS. AF_01/2021 (chicanas)</t>
  </si>
  <si>
    <t>102253
SINAPI</t>
  </si>
  <si>
    <t>94965
SINAPI</t>
  </si>
  <si>
    <t>CONCRETO FCK = 25MPA, TRAÇO 1:2,3:2,7 (EM MASSA SECA DE CIMENTO/ AREIA MÉDIA/ BRITA 1) - PREPARO MECÂNICO COM BETONEIRA 400 L. AF_05/2021</t>
  </si>
  <si>
    <t>Vargem Alta/ES, 03 de Novembro de 2021.</t>
  </si>
  <si>
    <t xml:space="preserve">Data Base:DER-ES AGO/ /2021 CESAN, SINAPI </t>
  </si>
  <si>
    <t xml:space="preserve">ORÇAMENTOS </t>
  </si>
  <si>
    <t xml:space="preserve">VIMETAL </t>
  </si>
  <si>
    <t>TUBOVAL COMERCIO LTDA</t>
  </si>
  <si>
    <t xml:space="preserve">CONTUBOS </t>
  </si>
  <si>
    <t>1º MÊS</t>
  </si>
  <si>
    <t>2º MÊS</t>
  </si>
  <si>
    <t>3º MÊS</t>
  </si>
  <si>
    <t>4º MÊS</t>
  </si>
  <si>
    <t>5º MÊS</t>
  </si>
  <si>
    <t>6º MÊS</t>
  </si>
  <si>
    <t>7º MÊS</t>
  </si>
  <si>
    <t>8º MÊS</t>
  </si>
  <si>
    <t>9º MÊS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</si>
</sst>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 #,##0.00_-;\-&quot;R$&quot;\ * #,##0.00_-;_-&quot;R$&quot;\ * &quot;-&quot;??_-;_-@_-"/>
    <numFmt numFmtId="43" formatCode="_-* #,##0.00_-;\-* #,##0.00_-;_-* &quot;-&quot;??_-;_-@_-"/>
    <numFmt numFmtId="164" formatCode="_(* #,##0.00_);_(* \(#,##0.00\);_(* &quot;-&quot;??_);_(@_)"/>
    <numFmt numFmtId="165" formatCode="#,##0.00_ ;\-#,##0.00\ "/>
    <numFmt numFmtId="166" formatCode="_(* #,##0.000000_);_(* \(#,##0.000000\);_(* &quot;-&quot;??_);_(@_)"/>
    <numFmt numFmtId="167" formatCode="0.0%"/>
    <numFmt numFmtId="168" formatCode="_(* #,##0.0000_);_(* \(#,##0.0000\);_(* &quot;-&quot;??_);_(@_)"/>
    <numFmt numFmtId="169" formatCode="[$-416]mmm\-yy;@"/>
  </numFmts>
  <fonts count="3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b/>
      <sz val="9"/>
      <name val="Arial"/>
      <family val="2"/>
    </font>
    <font>
      <b/>
      <sz val="8"/>
      <name val="Arial"/>
      <family val="2"/>
    </font>
    <font>
      <sz val="8"/>
      <name val="Arial"/>
      <family val="2"/>
    </font>
    <font>
      <b/>
      <sz val="14"/>
      <name val="Arial"/>
      <family val="2"/>
    </font>
    <font>
      <b/>
      <sz val="12"/>
      <name val="Arial"/>
      <family val="2"/>
    </font>
    <font>
      <b/>
      <sz val="10"/>
      <name val="Arial"/>
      <family val="2"/>
    </font>
    <font>
      <b/>
      <sz val="16"/>
      <name val="Arial"/>
      <family val="2"/>
    </font>
    <font>
      <b/>
      <sz val="18"/>
      <name val="Arial"/>
      <family val="2"/>
    </font>
    <font>
      <b/>
      <sz val="9"/>
      <color theme="6" tint="-0.249977111117893"/>
      <name val="Arial"/>
      <family val="2"/>
    </font>
    <font>
      <i/>
      <sz val="10"/>
      <name val="Arial"/>
      <family val="2"/>
    </font>
    <font>
      <sz val="10"/>
      <color indexed="81"/>
      <name val="Tahoma"/>
      <family val="2"/>
    </font>
    <font>
      <b/>
      <sz val="10"/>
      <color indexed="81"/>
      <name val="Tahoma"/>
      <family val="2"/>
    </font>
    <font>
      <b/>
      <sz val="20"/>
      <name val="Arial"/>
      <family val="2"/>
    </font>
    <font>
      <b/>
      <sz val="12"/>
      <color indexed="8"/>
      <name val="Arial"/>
      <family val="2"/>
    </font>
    <font>
      <b/>
      <sz val="10"/>
      <color indexed="8"/>
      <name val="Arial"/>
      <family val="2"/>
    </font>
    <font>
      <sz val="8"/>
      <color indexed="8"/>
      <name val="Arial"/>
      <family val="2"/>
    </font>
    <font>
      <sz val="10"/>
      <color indexed="8"/>
      <name val="Arial"/>
      <family val="2"/>
    </font>
    <font>
      <sz val="3"/>
      <name val="Arial"/>
      <family val="2"/>
    </font>
    <font>
      <b/>
      <sz val="3"/>
      <name val="Arial"/>
      <family val="2"/>
    </font>
    <font>
      <u/>
      <sz val="10"/>
      <name val="Arial"/>
      <family val="2"/>
    </font>
    <font>
      <sz val="11"/>
      <color indexed="8"/>
      <name val="Calibri"/>
      <family val="2"/>
    </font>
    <font>
      <b/>
      <i/>
      <sz val="14"/>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color rgb="FFFF0000"/>
      <name val="Arial"/>
      <family val="2"/>
    </font>
    <font>
      <sz val="11"/>
      <color rgb="FF000000"/>
      <name val="Calibri"/>
      <family val="2"/>
      <charset val="1"/>
    </font>
    <font>
      <sz val="8"/>
      <name val="Arial"/>
    </font>
    <font>
      <sz val="12"/>
      <color indexed="8"/>
      <name val="Arial"/>
      <family val="2"/>
    </font>
    <font>
      <b/>
      <sz val="10"/>
      <color indexed="10"/>
      <name val="Arial"/>
      <family val="2"/>
    </font>
    <font>
      <b/>
      <sz val="17"/>
      <name val="Arial"/>
      <family val="2"/>
    </font>
    <font>
      <sz val="10"/>
      <name val="Arial"/>
    </font>
  </fonts>
  <fills count="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theme="0" tint="-0.249977111117893"/>
        <bgColor indexed="64"/>
      </patternFill>
    </fill>
    <fill>
      <patternFill patternType="solid">
        <fgColor rgb="FFFFFF00"/>
        <bgColor indexed="64"/>
      </patternFill>
    </fill>
    <fill>
      <patternFill patternType="solid">
        <fgColor indexed="55"/>
        <bgColor indexed="64"/>
      </patternFill>
    </fill>
    <fill>
      <patternFill patternType="solid">
        <fgColor indexed="26"/>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s>
  <cellStyleXfs count="20">
    <xf numFmtId="0" fontId="0" fillId="0" borderId="0"/>
    <xf numFmtId="9" fontId="4" fillId="0" borderId="0" applyFont="0" applyFill="0" applyBorder="0" applyAlignment="0" applyProtection="0"/>
    <xf numFmtId="164" fontId="4" fillId="0" borderId="0" applyFont="0" applyFill="0" applyBorder="0" applyAlignment="0" applyProtection="0"/>
    <xf numFmtId="9" fontId="4" fillId="0" borderId="0" applyFont="0" applyFill="0" applyBorder="0" applyAlignment="0" applyProtection="0"/>
    <xf numFmtId="0" fontId="3" fillId="0" borderId="0"/>
    <xf numFmtId="9" fontId="26" fillId="0" borderId="0" applyFont="0" applyFill="0" applyBorder="0" applyAlignment="0" applyProtection="0"/>
    <xf numFmtId="0" fontId="4" fillId="0" borderId="0"/>
    <xf numFmtId="0" fontId="33" fillId="0" borderId="0"/>
    <xf numFmtId="0" fontId="2" fillId="0" borderId="0"/>
    <xf numFmtId="0" fontId="4" fillId="0" borderId="0"/>
    <xf numFmtId="9" fontId="4" fillId="0" borderId="0" applyFont="0" applyFill="0" applyBorder="0" applyAlignment="0" applyProtection="0"/>
    <xf numFmtId="0" fontId="26" fillId="0" borderId="0"/>
    <xf numFmtId="0" fontId="4" fillId="0" borderId="0"/>
    <xf numFmtId="9" fontId="4" fillId="0" borderId="0" applyFont="0" applyFill="0" applyBorder="0" applyAlignment="0" applyProtection="0"/>
    <xf numFmtId="43" fontId="26" fillId="0" borderId="0" applyFont="0" applyFill="0" applyBorder="0" applyAlignment="0" applyProtection="0"/>
    <xf numFmtId="164" fontId="4" fillId="0" borderId="0" applyFont="0" applyFill="0" applyBorder="0" applyAlignment="0" applyProtection="0"/>
    <xf numFmtId="0" fontId="1" fillId="0" borderId="0"/>
    <xf numFmtId="0" fontId="4" fillId="0" borderId="0"/>
    <xf numFmtId="9" fontId="4" fillId="0" borderId="0" applyFont="0" applyFill="0" applyBorder="0" applyAlignment="0" applyProtection="0"/>
    <xf numFmtId="44" fontId="38" fillId="0" borderId="0" applyFont="0" applyFill="0" applyBorder="0" applyAlignment="0" applyProtection="0"/>
  </cellStyleXfs>
  <cellXfs count="506">
    <xf numFmtId="0" fontId="0" fillId="0" borderId="0" xfId="0"/>
    <xf numFmtId="0" fontId="5" fillId="0" borderId="0" xfId="0" applyFont="1" applyBorder="1" applyAlignment="1">
      <alignment horizontal="center" vertical="center"/>
    </xf>
    <xf numFmtId="0" fontId="5" fillId="0" borderId="0" xfId="0" applyFont="1" applyBorder="1" applyAlignment="1">
      <alignment vertical="center" wrapText="1"/>
    </xf>
    <xf numFmtId="0" fontId="8" fillId="0" borderId="0" xfId="0" applyFont="1"/>
    <xf numFmtId="0" fontId="5" fillId="0" borderId="0" xfId="0" applyFont="1"/>
    <xf numFmtId="165" fontId="5" fillId="2" borderId="1" xfId="2" applyNumberFormat="1" applyFont="1" applyFill="1" applyBorder="1" applyAlignment="1">
      <alignment horizontal="center" vertical="center"/>
    </xf>
    <xf numFmtId="165" fontId="5" fillId="0" borderId="1" xfId="2" applyNumberFormat="1" applyFont="1" applyBorder="1" applyAlignment="1">
      <alignment horizontal="center" vertical="center"/>
    </xf>
    <xf numFmtId="164" fontId="5" fillId="0" borderId="1" xfId="2" applyFont="1" applyFill="1" applyBorder="1" applyAlignment="1">
      <alignment horizontal="center"/>
    </xf>
    <xf numFmtId="164" fontId="5" fillId="2" borderId="1" xfId="2" applyFont="1" applyFill="1" applyBorder="1" applyAlignment="1">
      <alignment horizontal="center"/>
    </xf>
    <xf numFmtId="0" fontId="6" fillId="0" borderId="1" xfId="0" applyFont="1" applyBorder="1" applyAlignment="1">
      <alignment horizontal="center"/>
    </xf>
    <xf numFmtId="0" fontId="5" fillId="0" borderId="1" xfId="0" applyFont="1" applyBorder="1" applyAlignment="1">
      <alignment horizontal="center"/>
    </xf>
    <xf numFmtId="164" fontId="5" fillId="0" borderId="1" xfId="2" applyFont="1" applyBorder="1" applyAlignment="1">
      <alignment horizontal="center"/>
    </xf>
    <xf numFmtId="0" fontId="5" fillId="0" borderId="2" xfId="0" applyFont="1" applyBorder="1" applyAlignment="1">
      <alignment horizontal="center"/>
    </xf>
    <xf numFmtId="164" fontId="5" fillId="0" borderId="2" xfId="2" applyFont="1" applyBorder="1" applyAlignment="1">
      <alignment horizontal="center"/>
    </xf>
    <xf numFmtId="164" fontId="5" fillId="0" borderId="2" xfId="2" applyFont="1" applyFill="1" applyBorder="1" applyAlignment="1">
      <alignment horizontal="center"/>
    </xf>
    <xf numFmtId="164" fontId="5" fillId="0" borderId="4" xfId="2" applyFont="1" applyFill="1" applyBorder="1" applyAlignment="1">
      <alignment horizontal="center"/>
    </xf>
    <xf numFmtId="4" fontId="11" fillId="0" borderId="0" xfId="0" applyNumberFormat="1" applyFont="1"/>
    <xf numFmtId="164" fontId="8" fillId="0" borderId="1" xfId="2" applyFont="1" applyBorder="1" applyAlignment="1">
      <alignment horizontal="left"/>
    </xf>
    <xf numFmtId="0" fontId="0" fillId="0" borderId="0" xfId="0" applyBorder="1"/>
    <xf numFmtId="164" fontId="8" fillId="0" borderId="0" xfId="2" applyFont="1" applyBorder="1" applyAlignment="1">
      <alignment horizontal="left"/>
    </xf>
    <xf numFmtId="164" fontId="8" fillId="0" borderId="0" xfId="2" applyFont="1" applyBorder="1" applyAlignment="1">
      <alignment horizontal="center"/>
    </xf>
    <xf numFmtId="0" fontId="8" fillId="0" borderId="0" xfId="0" applyFont="1" applyBorder="1"/>
    <xf numFmtId="0" fontId="12" fillId="0" borderId="0" xfId="0" applyFont="1" applyBorder="1" applyAlignment="1">
      <alignment vertical="center"/>
    </xf>
    <xf numFmtId="0" fontId="11" fillId="0" borderId="0" xfId="0" applyFont="1" applyBorder="1" applyAlignment="1">
      <alignment vertical="center"/>
    </xf>
    <xf numFmtId="4" fontId="6" fillId="0" borderId="1" xfId="0" applyNumberFormat="1" applyFont="1" applyBorder="1" applyAlignment="1">
      <alignment horizontal="center" vertical="center"/>
    </xf>
    <xf numFmtId="0" fontId="8" fillId="0" borderId="0" xfId="0" applyFont="1" applyBorder="1" applyAlignment="1"/>
    <xf numFmtId="164" fontId="8" fillId="0" borderId="0" xfId="2" applyFont="1" applyBorder="1" applyAlignment="1"/>
    <xf numFmtId="164" fontId="7" fillId="0" borderId="0" xfId="2" applyFont="1" applyBorder="1" applyAlignment="1"/>
    <xf numFmtId="166" fontId="8" fillId="0" borderId="0" xfId="2" applyNumberFormat="1" applyFont="1" applyBorder="1" applyAlignment="1"/>
    <xf numFmtId="10" fontId="8" fillId="0" borderId="0" xfId="1" applyNumberFormat="1" applyFont="1" applyBorder="1" applyAlignment="1"/>
    <xf numFmtId="0" fontId="5" fillId="2" borderId="2" xfId="0" applyFont="1" applyFill="1" applyBorder="1" applyAlignment="1">
      <alignment vertical="center"/>
    </xf>
    <xf numFmtId="0" fontId="5" fillId="2" borderId="4" xfId="0" applyFont="1" applyFill="1" applyBorder="1" applyAlignment="1">
      <alignment vertical="center"/>
    </xf>
    <xf numFmtId="164" fontId="5" fillId="0" borderId="1" xfId="2" applyFont="1" applyFill="1" applyBorder="1" applyAlignment="1">
      <alignment horizontal="center" vertical="center"/>
    </xf>
    <xf numFmtId="165" fontId="5" fillId="2" borderId="1" xfId="2" applyNumberFormat="1" applyFont="1" applyFill="1" applyBorder="1" applyAlignment="1">
      <alignment horizontal="right" vertical="center"/>
    </xf>
    <xf numFmtId="0" fontId="0" fillId="0" borderId="0" xfId="0" applyAlignment="1"/>
    <xf numFmtId="0" fontId="11" fillId="0" borderId="0" xfId="0" applyFont="1" applyBorder="1" applyAlignment="1">
      <alignment horizontal="center"/>
    </xf>
    <xf numFmtId="0" fontId="4" fillId="0" borderId="0" xfId="0" applyFont="1" applyBorder="1" applyAlignment="1">
      <alignment horizontal="center"/>
    </xf>
    <xf numFmtId="0" fontId="11" fillId="0" borderId="0" xfId="0" applyFont="1" applyBorder="1" applyAlignment="1"/>
    <xf numFmtId="0" fontId="5" fillId="0" borderId="0" xfId="0" applyFont="1" applyBorder="1" applyAlignment="1">
      <alignment horizontal="center"/>
    </xf>
    <xf numFmtId="0" fontId="8" fillId="0" borderId="1" xfId="0" applyFont="1" applyBorder="1" applyAlignment="1">
      <alignment horizontal="center"/>
    </xf>
    <xf numFmtId="0" fontId="7" fillId="0" borderId="1" xfId="0" applyFont="1" applyFill="1" applyBorder="1" applyAlignment="1">
      <alignment horizontal="center" vertical="center"/>
    </xf>
    <xf numFmtId="164" fontId="8" fillId="0" borderId="1" xfId="0" applyNumberFormat="1" applyFont="1" applyBorder="1" applyAlignment="1">
      <alignment horizontal="center" vertical="center"/>
    </xf>
    <xf numFmtId="164" fontId="8" fillId="0" borderId="1" xfId="0" applyNumberFormat="1" applyFont="1" applyFill="1" applyBorder="1" applyAlignment="1">
      <alignment horizontal="center" vertical="center"/>
    </xf>
    <xf numFmtId="0" fontId="7" fillId="4" borderId="1" xfId="0" applyFont="1" applyFill="1" applyBorder="1" applyAlignment="1">
      <alignment horizontal="center" vertical="center"/>
    </xf>
    <xf numFmtId="9" fontId="8" fillId="0" borderId="1" xfId="3" applyFont="1" applyBorder="1" applyAlignment="1">
      <alignment horizontal="center" vertical="center"/>
    </xf>
    <xf numFmtId="9" fontId="8" fillId="0" borderId="1" xfId="3" applyFont="1" applyFill="1" applyBorder="1" applyAlignment="1">
      <alignment horizontal="center" vertical="center"/>
    </xf>
    <xf numFmtId="164" fontId="8" fillId="0" borderId="1" xfId="2" applyFont="1" applyBorder="1" applyAlignment="1">
      <alignment horizontal="center" vertical="center"/>
    </xf>
    <xf numFmtId="164" fontId="8" fillId="0" borderId="1" xfId="2" applyFont="1" applyFill="1" applyBorder="1" applyAlignment="1">
      <alignment horizontal="center" vertical="center"/>
    </xf>
    <xf numFmtId="10" fontId="8" fillId="0" borderId="1" xfId="3" applyNumberFormat="1" applyFont="1" applyBorder="1" applyAlignment="1">
      <alignment horizontal="center" vertical="center"/>
    </xf>
    <xf numFmtId="10" fontId="8" fillId="0" borderId="1" xfId="3" applyNumberFormat="1" applyFont="1" applyFill="1" applyBorder="1" applyAlignment="1">
      <alignment horizontal="center" vertical="center"/>
    </xf>
    <xf numFmtId="0" fontId="7" fillId="5" borderId="1" xfId="0" applyFont="1" applyFill="1" applyBorder="1" applyAlignment="1">
      <alignment horizontal="center" vertical="center"/>
    </xf>
    <xf numFmtId="164" fontId="8" fillId="0" borderId="1" xfId="0" applyNumberFormat="1" applyFont="1" applyFill="1" applyBorder="1" applyAlignment="1">
      <alignment horizontal="left" vertical="center"/>
    </xf>
    <xf numFmtId="0" fontId="8" fillId="0" borderId="1" xfId="0" applyFont="1" applyFill="1" applyBorder="1" applyAlignment="1">
      <alignment horizontal="left" vertical="center"/>
    </xf>
    <xf numFmtId="164" fontId="8" fillId="0" borderId="1" xfId="2" applyFont="1" applyFill="1" applyBorder="1" applyAlignment="1">
      <alignment horizontal="left" vertical="center"/>
    </xf>
    <xf numFmtId="164" fontId="7" fillId="0" borderId="1" xfId="2" applyFont="1" applyFill="1" applyBorder="1" applyAlignment="1">
      <alignment horizontal="left" vertical="center"/>
    </xf>
    <xf numFmtId="10" fontId="7" fillId="0" borderId="1" xfId="2" applyNumberFormat="1" applyFont="1" applyFill="1" applyBorder="1" applyAlignment="1">
      <alignment horizontal="center" vertical="center"/>
    </xf>
    <xf numFmtId="0" fontId="5" fillId="0" borderId="12" xfId="0" applyFont="1" applyBorder="1" applyAlignment="1"/>
    <xf numFmtId="164" fontId="5" fillId="0" borderId="12" xfId="2" applyFont="1" applyBorder="1" applyAlignment="1"/>
    <xf numFmtId="0" fontId="6" fillId="0" borderId="0" xfId="0" applyFont="1" applyFill="1" applyBorder="1" applyAlignment="1">
      <alignment vertical="center"/>
    </xf>
    <xf numFmtId="0" fontId="5" fillId="0" borderId="0" xfId="0" applyFont="1" applyBorder="1" applyAlignment="1">
      <alignment horizontal="left"/>
    </xf>
    <xf numFmtId="0" fontId="5" fillId="0" borderId="0" xfId="0" applyFont="1" applyFill="1" applyBorder="1" applyAlignment="1">
      <alignment vertical="center"/>
    </xf>
    <xf numFmtId="164" fontId="5" fillId="0" borderId="0" xfId="2" applyFont="1" applyFill="1" applyBorder="1" applyAlignment="1">
      <alignment vertical="center"/>
    </xf>
    <xf numFmtId="9" fontId="8" fillId="0" borderId="1" xfId="3" applyNumberFormat="1" applyFont="1" applyFill="1" applyBorder="1" applyAlignment="1">
      <alignment horizontal="center" vertical="center"/>
    </xf>
    <xf numFmtId="43" fontId="8" fillId="0" borderId="1" xfId="0" applyNumberFormat="1" applyFont="1" applyFill="1" applyBorder="1" applyAlignment="1">
      <alignment horizontal="right"/>
    </xf>
    <xf numFmtId="0" fontId="8" fillId="5" borderId="1" xfId="0" applyFont="1" applyFill="1" applyBorder="1" applyAlignment="1">
      <alignment horizontal="left" vertical="center"/>
    </xf>
    <xf numFmtId="164" fontId="8" fillId="0" borderId="1" xfId="0" applyNumberFormat="1" applyFont="1" applyFill="1" applyBorder="1" applyAlignment="1">
      <alignment horizontal="right" vertical="center"/>
    </xf>
    <xf numFmtId="10" fontId="7" fillId="0" borderId="1" xfId="3" applyNumberFormat="1" applyFont="1" applyFill="1" applyBorder="1" applyAlignment="1">
      <alignment horizontal="center" vertical="center"/>
    </xf>
    <xf numFmtId="9" fontId="8" fillId="0" borderId="0" xfId="1" applyFont="1" applyBorder="1" applyAlignment="1">
      <alignment horizontal="center"/>
    </xf>
    <xf numFmtId="164" fontId="7" fillId="0" borderId="0" xfId="2" applyFont="1" applyBorder="1" applyAlignment="1">
      <alignment horizontal="center"/>
    </xf>
    <xf numFmtId="0" fontId="4" fillId="0" borderId="0" xfId="6" applyFill="1" applyBorder="1"/>
    <xf numFmtId="0" fontId="6" fillId="0" borderId="0" xfId="6" applyFont="1" applyFill="1" applyBorder="1" applyAlignment="1">
      <alignment horizontal="justify" vertical="center" wrapText="1"/>
    </xf>
    <xf numFmtId="0" fontId="4" fillId="0" borderId="0" xfId="6"/>
    <xf numFmtId="0" fontId="4" fillId="0" borderId="0" xfId="6" applyFill="1" applyBorder="1" applyAlignment="1">
      <alignment horizontal="center"/>
    </xf>
    <xf numFmtId="0" fontId="6" fillId="0" borderId="0" xfId="6" applyFont="1" applyFill="1" applyBorder="1" applyAlignment="1">
      <alignment horizontal="justify" vertical="center"/>
    </xf>
    <xf numFmtId="0" fontId="14" fillId="0" borderId="0" xfId="6" applyFont="1" applyFill="1" applyBorder="1" applyAlignment="1">
      <alignment horizontal="justify" vertical="center"/>
    </xf>
    <xf numFmtId="0" fontId="11" fillId="0" borderId="0" xfId="6" applyFont="1" applyBorder="1" applyAlignment="1">
      <alignment vertical="top"/>
    </xf>
    <xf numFmtId="0" fontId="6" fillId="0" borderId="0" xfId="6" applyFont="1" applyBorder="1" applyAlignment="1">
      <alignment horizontal="justify" vertical="center" wrapText="1"/>
    </xf>
    <xf numFmtId="0" fontId="6" fillId="0" borderId="0" xfId="6" applyFont="1" applyBorder="1" applyAlignment="1">
      <alignment horizontal="center" vertical="center"/>
    </xf>
    <xf numFmtId="0" fontId="6" fillId="0" borderId="0" xfId="6" applyFont="1" applyFill="1" applyBorder="1" applyAlignment="1">
      <alignment horizontal="center" vertical="center"/>
    </xf>
    <xf numFmtId="0" fontId="6" fillId="0" borderId="0" xfId="6" applyFont="1" applyBorder="1" applyAlignment="1">
      <alignment horizontal="justify" vertical="center"/>
    </xf>
    <xf numFmtId="0" fontId="5" fillId="0" borderId="0" xfId="6" applyFont="1" applyFill="1" applyBorder="1" applyAlignment="1">
      <alignment horizontal="center" vertical="center"/>
    </xf>
    <xf numFmtId="0" fontId="5" fillId="2" borderId="0" xfId="6" applyFont="1" applyFill="1" applyBorder="1" applyAlignment="1">
      <alignment horizontal="justify" vertical="center"/>
    </xf>
    <xf numFmtId="0" fontId="5" fillId="0" borderId="0" xfId="6" applyFont="1" applyFill="1" applyBorder="1" applyAlignment="1">
      <alignment horizontal="justify" vertical="center" wrapText="1"/>
    </xf>
    <xf numFmtId="0" fontId="5" fillId="0" borderId="0" xfId="6" applyFont="1" applyFill="1" applyBorder="1" applyAlignment="1">
      <alignment horizontal="justify" vertical="center"/>
    </xf>
    <xf numFmtId="0" fontId="5" fillId="0" borderId="0" xfId="6" applyFont="1" applyBorder="1" applyAlignment="1">
      <alignment horizontal="justify" vertical="center" wrapText="1"/>
    </xf>
    <xf numFmtId="0" fontId="5" fillId="0" borderId="0" xfId="6" applyFont="1" applyBorder="1" applyAlignment="1">
      <alignment horizontal="left"/>
    </xf>
    <xf numFmtId="0" fontId="5" fillId="0" borderId="0" xfId="6" applyFont="1" applyBorder="1"/>
    <xf numFmtId="0" fontId="5" fillId="0" borderId="0" xfId="6" applyFont="1" applyBorder="1" applyAlignment="1">
      <alignment horizontal="center" vertical="center" wrapText="1"/>
    </xf>
    <xf numFmtId="0" fontId="5" fillId="0" borderId="0" xfId="6" applyFont="1" applyBorder="1" applyAlignment="1">
      <alignment horizontal="center" vertical="center"/>
    </xf>
    <xf numFmtId="0" fontId="5" fillId="0" borderId="0" xfId="6" applyFont="1" applyBorder="1" applyAlignment="1">
      <alignment horizontal="justify" vertical="center"/>
    </xf>
    <xf numFmtId="49" fontId="5" fillId="0" borderId="1" xfId="0" applyNumberFormat="1" applyFont="1" applyFill="1" applyBorder="1" applyAlignment="1">
      <alignment horizontal="center" vertical="top"/>
    </xf>
    <xf numFmtId="49" fontId="6" fillId="0" borderId="1" xfId="0" applyNumberFormat="1" applyFont="1" applyFill="1" applyBorder="1" applyAlignment="1">
      <alignment horizontal="center" vertical="top"/>
    </xf>
    <xf numFmtId="164" fontId="8" fillId="0" borderId="1" xfId="2" applyFont="1" applyBorder="1" applyAlignment="1">
      <alignment horizontal="center"/>
    </xf>
    <xf numFmtId="0" fontId="11" fillId="3" borderId="1" xfId="6" applyFont="1" applyFill="1" applyBorder="1" applyAlignment="1">
      <alignment horizontal="left" vertical="center"/>
    </xf>
    <xf numFmtId="0" fontId="11" fillId="3" borderId="14" xfId="6" applyFont="1" applyFill="1" applyBorder="1" applyAlignment="1">
      <alignment horizontal="left" vertical="center"/>
    </xf>
    <xf numFmtId="0" fontId="8" fillId="0" borderId="3" xfId="6" applyFont="1" applyBorder="1" applyAlignment="1">
      <alignment vertical="center"/>
    </xf>
    <xf numFmtId="0" fontId="8" fillId="0" borderId="14" xfId="6" applyFont="1" applyBorder="1" applyAlignment="1">
      <alignment horizontal="center" vertical="center"/>
    </xf>
    <xf numFmtId="0" fontId="8" fillId="0" borderId="1" xfId="6" applyFont="1" applyBorder="1" applyAlignment="1">
      <alignment horizontal="center" vertical="center"/>
    </xf>
    <xf numFmtId="0" fontId="8" fillId="0" borderId="6" xfId="6" applyFont="1" applyBorder="1" applyAlignment="1">
      <alignment horizontal="center" vertical="center"/>
    </xf>
    <xf numFmtId="0" fontId="7" fillId="0" borderId="3" xfId="6" applyFont="1" applyBorder="1" applyAlignment="1">
      <alignment horizontal="left"/>
    </xf>
    <xf numFmtId="0" fontId="7" fillId="0" borderId="2" xfId="6" applyFont="1" applyBorder="1" applyAlignment="1">
      <alignment horizontal="left"/>
    </xf>
    <xf numFmtId="0" fontId="7" fillId="0" borderId="4" xfId="6" applyFont="1" applyBorder="1" applyAlignment="1">
      <alignment horizontal="left"/>
    </xf>
    <xf numFmtId="0" fontId="8" fillId="0" borderId="1" xfId="6" applyFont="1" applyBorder="1" applyAlignment="1">
      <alignment horizontal="center"/>
    </xf>
    <xf numFmtId="0" fontId="8" fillId="0" borderId="1" xfId="6" applyFont="1" applyBorder="1" applyAlignment="1"/>
    <xf numFmtId="0" fontId="8" fillId="0" borderId="4" xfId="6" applyFont="1" applyBorder="1" applyAlignment="1"/>
    <xf numFmtId="0" fontId="8" fillId="0" borderId="3" xfId="6" applyFont="1" applyBorder="1" applyAlignment="1">
      <alignment horizontal="right" wrapText="1"/>
    </xf>
    <xf numFmtId="164" fontId="8" fillId="0" borderId="1" xfId="2" applyFont="1" applyBorder="1" applyAlignment="1"/>
    <xf numFmtId="164" fontId="8" fillId="0" borderId="4" xfId="2" applyFont="1" applyBorder="1" applyAlignment="1"/>
    <xf numFmtId="0" fontId="8" fillId="0" borderId="3" xfId="6" applyFont="1" applyBorder="1" applyAlignment="1">
      <alignment wrapText="1"/>
    </xf>
    <xf numFmtId="0" fontId="8" fillId="0" borderId="14" xfId="6" applyFont="1" applyBorder="1" applyAlignment="1">
      <alignment horizontal="center"/>
    </xf>
    <xf numFmtId="164" fontId="8" fillId="0" borderId="14" xfId="2" applyFont="1" applyBorder="1" applyAlignment="1">
      <alignment horizontal="left"/>
    </xf>
    <xf numFmtId="164" fontId="8" fillId="0" borderId="14" xfId="2" applyFont="1" applyBorder="1" applyAlignment="1"/>
    <xf numFmtId="164" fontId="7" fillId="0" borderId="4" xfId="2" applyFont="1" applyBorder="1" applyAlignment="1"/>
    <xf numFmtId="0" fontId="8" fillId="0" borderId="0" xfId="6" applyFont="1" applyBorder="1" applyAlignment="1">
      <alignment horizontal="center"/>
    </xf>
    <xf numFmtId="0" fontId="8" fillId="0" borderId="0" xfId="6" applyFont="1" applyBorder="1" applyAlignment="1"/>
    <xf numFmtId="0" fontId="8" fillId="0" borderId="0" xfId="6" applyFont="1" applyBorder="1"/>
    <xf numFmtId="0" fontId="4" fillId="0" borderId="0" xfId="6" applyBorder="1"/>
    <xf numFmtId="0" fontId="5" fillId="0" borderId="0" xfId="6" applyFont="1" applyBorder="1" applyAlignment="1">
      <alignment horizontal="center"/>
    </xf>
    <xf numFmtId="0" fontId="7" fillId="0" borderId="0" xfId="6" applyFont="1" applyBorder="1" applyAlignment="1">
      <alignment horizontal="left"/>
    </xf>
    <xf numFmtId="0" fontId="5" fillId="0" borderId="5" xfId="0" applyFont="1" applyFill="1" applyBorder="1" applyAlignment="1">
      <alignment vertical="center"/>
    </xf>
    <xf numFmtId="164" fontId="5" fillId="0" borderId="5" xfId="2" applyFont="1" applyFill="1" applyBorder="1" applyAlignment="1">
      <alignment vertical="center"/>
    </xf>
    <xf numFmtId="9" fontId="8" fillId="5" borderId="1" xfId="3"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43" fontId="8" fillId="0" borderId="1" xfId="0" applyNumberFormat="1" applyFont="1" applyBorder="1"/>
    <xf numFmtId="0" fontId="7" fillId="0" borderId="6" xfId="0" applyFont="1" applyFill="1" applyBorder="1" applyAlignment="1">
      <alignment horizontal="center" vertical="center"/>
    </xf>
    <xf numFmtId="164" fontId="6" fillId="0" borderId="3" xfId="0" applyNumberFormat="1" applyFont="1" applyFill="1" applyBorder="1" applyAlignment="1">
      <alignment horizontal="center"/>
    </xf>
    <xf numFmtId="0" fontId="0" fillId="0" borderId="0" xfId="0" quotePrefix="1"/>
    <xf numFmtId="164" fontId="8" fillId="0" borderId="0" xfId="2" applyFont="1" applyBorder="1" applyAlignment="1">
      <alignment horizontal="center"/>
    </xf>
    <xf numFmtId="164" fontId="8" fillId="0" borderId="0" xfId="2" applyFont="1" applyBorder="1" applyAlignment="1">
      <alignment horizontal="center"/>
    </xf>
    <xf numFmtId="164" fontId="6" fillId="0" borderId="3" xfId="2" applyFont="1" applyBorder="1" applyAlignment="1">
      <alignment horizontal="center"/>
    </xf>
    <xf numFmtId="4" fontId="6" fillId="0" borderId="1" xfId="0" applyNumberFormat="1" applyFont="1" applyBorder="1" applyAlignment="1">
      <alignment horizontal="right" vertical="center"/>
    </xf>
    <xf numFmtId="2" fontId="5" fillId="0" borderId="1" xfId="0" applyNumberFormat="1" applyFont="1" applyBorder="1" applyAlignment="1">
      <alignment horizontal="right" vertical="center"/>
    </xf>
    <xf numFmtId="0" fontId="5" fillId="0" borderId="1" xfId="0" applyFont="1" applyBorder="1" applyAlignment="1">
      <alignment horizontal="righ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Fill="1" applyBorder="1" applyAlignment="1">
      <alignment horizontal="left" vertical="center"/>
    </xf>
    <xf numFmtId="0" fontId="6" fillId="0" borderId="1" xfId="0" applyFont="1" applyBorder="1" applyAlignment="1">
      <alignment horizontal="center" vertical="center"/>
    </xf>
    <xf numFmtId="165" fontId="5" fillId="2" borderId="1" xfId="2" applyNumberFormat="1" applyFont="1" applyFill="1" applyBorder="1" applyAlignment="1">
      <alignment horizontal="right"/>
    </xf>
    <xf numFmtId="43" fontId="5" fillId="0" borderId="0" xfId="0" applyNumberFormat="1" applyFont="1"/>
    <xf numFmtId="43" fontId="0" fillId="0" borderId="0" xfId="0" applyNumberFormat="1"/>
    <xf numFmtId="164" fontId="7" fillId="0" borderId="1" xfId="0" applyNumberFormat="1" applyFont="1" applyFill="1" applyBorder="1" applyAlignment="1">
      <alignment horizontal="left" vertical="center"/>
    </xf>
    <xf numFmtId="49" fontId="5" fillId="0" borderId="2" xfId="0" applyNumberFormat="1" applyFont="1" applyFill="1" applyBorder="1" applyAlignment="1">
      <alignment horizontal="center" vertical="top"/>
    </xf>
    <xf numFmtId="164" fontId="6" fillId="0" borderId="1" xfId="0" applyNumberFormat="1" applyFont="1" applyFill="1" applyBorder="1" applyAlignment="1">
      <alignment horizontal="center"/>
    </xf>
    <xf numFmtId="164" fontId="5" fillId="0" borderId="1" xfId="0" applyNumberFormat="1" applyFont="1" applyFill="1" applyBorder="1" applyAlignment="1">
      <alignment horizontal="center"/>
    </xf>
    <xf numFmtId="2" fontId="0" fillId="0" borderId="1" xfId="0" applyNumberFormat="1" applyBorder="1" applyAlignment="1">
      <alignment horizontal="center" vertical="center"/>
    </xf>
    <xf numFmtId="0" fontId="4" fillId="0" borderId="1" xfId="0" applyFont="1" applyBorder="1" applyAlignment="1">
      <alignment horizontal="center" vertical="top"/>
    </xf>
    <xf numFmtId="10" fontId="8" fillId="0" borderId="1" xfId="1" applyNumberFormat="1" applyFont="1" applyFill="1" applyBorder="1" applyAlignment="1">
      <alignment horizontal="center" vertical="center"/>
    </xf>
    <xf numFmtId="0" fontId="4" fillId="0" borderId="1" xfId="0" applyFont="1" applyBorder="1" applyAlignment="1">
      <alignment horizontal="center" vertical="center"/>
    </xf>
    <xf numFmtId="0" fontId="8" fillId="0" borderId="1" xfId="0" applyFont="1" applyBorder="1" applyAlignment="1">
      <alignment horizontal="center" vertical="center"/>
    </xf>
    <xf numFmtId="165" fontId="6" fillId="0" borderId="1" xfId="2" applyNumberFormat="1" applyFont="1" applyBorder="1" applyAlignment="1">
      <alignment horizontal="center" vertical="center"/>
    </xf>
    <xf numFmtId="165" fontId="5" fillId="0" borderId="1" xfId="0" applyNumberFormat="1" applyFont="1" applyFill="1" applyBorder="1" applyAlignment="1">
      <alignment horizontal="right"/>
    </xf>
    <xf numFmtId="0" fontId="11" fillId="0" borderId="1" xfId="0" applyFont="1" applyBorder="1" applyAlignment="1">
      <alignment vertical="center"/>
    </xf>
    <xf numFmtId="49" fontId="5" fillId="0" borderId="1" xfId="0" applyNumberFormat="1" applyFont="1" applyBorder="1" applyAlignment="1">
      <alignment horizontal="center" vertical="top"/>
    </xf>
    <xf numFmtId="49" fontId="6" fillId="0" borderId="1" xfId="0" applyNumberFormat="1" applyFont="1" applyBorder="1" applyAlignment="1">
      <alignment horizontal="center" vertical="top"/>
    </xf>
    <xf numFmtId="0" fontId="6" fillId="0" borderId="1" xfId="0" applyFont="1" applyBorder="1" applyAlignment="1">
      <alignment horizontal="center" vertical="top"/>
    </xf>
    <xf numFmtId="0" fontId="5" fillId="0" borderId="1" xfId="0" applyFont="1" applyBorder="1" applyAlignment="1">
      <alignment horizontal="center" vertical="top"/>
    </xf>
    <xf numFmtId="0" fontId="5" fillId="0" borderId="1" xfId="0" applyFont="1" applyBorder="1" applyAlignment="1">
      <alignment horizontal="center" vertical="top" wrapText="1"/>
    </xf>
    <xf numFmtId="164" fontId="8" fillId="0" borderId="1" xfId="2" applyFont="1" applyBorder="1" applyAlignment="1">
      <alignment horizontal="center" vertical="center" wrapText="1"/>
    </xf>
    <xf numFmtId="10" fontId="8" fillId="0" borderId="1" xfId="1" applyNumberFormat="1" applyFont="1" applyBorder="1" applyAlignment="1">
      <alignment horizontal="center" vertical="center" wrapText="1"/>
    </xf>
    <xf numFmtId="164" fontId="7" fillId="0" borderId="1" xfId="2" applyFont="1" applyBorder="1" applyAlignment="1">
      <alignment horizontal="center" vertical="center" wrapText="1"/>
    </xf>
    <xf numFmtId="40" fontId="8" fillId="0" borderId="1" xfId="3" applyNumberFormat="1" applyFont="1" applyFill="1" applyBorder="1" applyAlignment="1">
      <alignment horizontal="right" vertical="center"/>
    </xf>
    <xf numFmtId="9" fontId="8" fillId="2" borderId="1" xfId="3" applyFont="1" applyFill="1" applyBorder="1" applyAlignment="1">
      <alignment horizontal="center" vertical="center"/>
    </xf>
    <xf numFmtId="0" fontId="9" fillId="0" borderId="0" xfId="6" applyFont="1" applyFill="1" applyBorder="1" applyAlignment="1">
      <alignment horizontal="center" vertical="center"/>
    </xf>
    <xf numFmtId="0" fontId="6" fillId="0" borderId="0" xfId="0" applyFont="1" applyFill="1" applyBorder="1" applyAlignment="1">
      <alignment horizontal="center" vertical="center"/>
    </xf>
    <xf numFmtId="0" fontId="37" fillId="0" borderId="0" xfId="6" applyFont="1" applyFill="1" applyBorder="1" applyAlignment="1">
      <alignment horizontal="center" vertical="center" wrapText="1"/>
    </xf>
    <xf numFmtId="10" fontId="5" fillId="0" borderId="0" xfId="0" applyNumberFormat="1" applyFont="1"/>
    <xf numFmtId="2" fontId="5" fillId="0" borderId="0" xfId="0" applyNumberFormat="1" applyFont="1"/>
    <xf numFmtId="0" fontId="5" fillId="0" borderId="0" xfId="6" applyFont="1" applyBorder="1" applyAlignment="1">
      <alignment horizontal="center"/>
    </xf>
    <xf numFmtId="164" fontId="8" fillId="0" borderId="0" xfId="2" applyFont="1" applyBorder="1" applyAlignment="1">
      <alignment horizontal="center"/>
    </xf>
    <xf numFmtId="0" fontId="7" fillId="0" borderId="0" xfId="6" applyFont="1" applyBorder="1" applyAlignment="1">
      <alignment horizontal="left"/>
    </xf>
    <xf numFmtId="9" fontId="8" fillId="0" borderId="0" xfId="1" applyFont="1" applyBorder="1" applyAlignment="1">
      <alignment horizontal="center"/>
    </xf>
    <xf numFmtId="164" fontId="7" fillId="0" borderId="0" xfId="2" applyFont="1" applyBorder="1" applyAlignment="1">
      <alignment horizontal="center"/>
    </xf>
    <xf numFmtId="0" fontId="7" fillId="0" borderId="0" xfId="6" applyFont="1" applyBorder="1" applyAlignment="1">
      <alignment horizontal="center"/>
    </xf>
    <xf numFmtId="0" fontId="8" fillId="0" borderId="0" xfId="6" applyFont="1" applyBorder="1" applyAlignment="1">
      <alignment horizontal="center"/>
    </xf>
    <xf numFmtId="0" fontId="8" fillId="0" borderId="3" xfId="6" applyFont="1" applyBorder="1" applyAlignment="1"/>
    <xf numFmtId="0" fontId="8" fillId="0" borderId="4" xfId="6" applyFont="1" applyBorder="1" applyAlignment="1"/>
    <xf numFmtId="164" fontId="8" fillId="0" borderId="1" xfId="2" applyFont="1" applyBorder="1" applyAlignment="1">
      <alignment horizontal="center"/>
    </xf>
    <xf numFmtId="0" fontId="7" fillId="0" borderId="3" xfId="6" applyFont="1" applyBorder="1" applyAlignment="1">
      <alignment horizontal="left"/>
    </xf>
    <xf numFmtId="0" fontId="8" fillId="0" borderId="1" xfId="6" applyFont="1" applyBorder="1" applyAlignment="1">
      <alignment horizontal="center"/>
    </xf>
    <xf numFmtId="0" fontId="8" fillId="0" borderId="3" xfId="6" applyFont="1" applyBorder="1" applyAlignment="1">
      <alignment horizontal="left"/>
    </xf>
    <xf numFmtId="0" fontId="8" fillId="0" borderId="2" xfId="6" applyFont="1" applyBorder="1" applyAlignment="1">
      <alignment horizontal="left"/>
    </xf>
    <xf numFmtId="0" fontId="6" fillId="0" borderId="6" xfId="0" applyFont="1" applyFill="1" applyBorder="1" applyAlignment="1">
      <alignment horizontal="left" vertical="center"/>
    </xf>
    <xf numFmtId="0" fontId="5" fillId="0" borderId="1" xfId="0" applyFont="1" applyFill="1" applyBorder="1" applyAlignment="1">
      <alignment horizontal="center" vertical="center"/>
    </xf>
    <xf numFmtId="10" fontId="8" fillId="0" borderId="1" xfId="1" applyNumberFormat="1" applyFont="1" applyBorder="1" applyAlignment="1">
      <alignment horizontal="right"/>
    </xf>
    <xf numFmtId="2" fontId="8" fillId="0" borderId="1" xfId="6" applyNumberFormat="1" applyFont="1" applyBorder="1" applyAlignment="1">
      <alignment wrapText="1"/>
    </xf>
    <xf numFmtId="0" fontId="8" fillId="0" borderId="3" xfId="6" applyFont="1" applyBorder="1" applyAlignment="1">
      <alignment horizontal="right"/>
    </xf>
    <xf numFmtId="9" fontId="8" fillId="0" borderId="1" xfId="6" applyNumberFormat="1" applyFont="1" applyBorder="1" applyAlignment="1">
      <alignment horizontal="center"/>
    </xf>
    <xf numFmtId="0" fontId="8" fillId="0" borderId="1" xfId="6" applyNumberFormat="1" applyFont="1" applyBorder="1" applyAlignment="1">
      <alignment wrapText="1"/>
    </xf>
    <xf numFmtId="166" fontId="8" fillId="0" borderId="1" xfId="2" applyNumberFormat="1" applyFont="1" applyBorder="1" applyAlignment="1"/>
    <xf numFmtId="164" fontId="8" fillId="0" borderId="3" xfId="2" applyNumberFormat="1" applyFont="1" applyBorder="1" applyAlignment="1"/>
    <xf numFmtId="164" fontId="8" fillId="0" borderId="4" xfId="2" applyNumberFormat="1" applyFont="1" applyBorder="1" applyAlignment="1"/>
    <xf numFmtId="2" fontId="8" fillId="0" borderId="1" xfId="2" applyNumberFormat="1" applyFont="1" applyBorder="1" applyAlignment="1"/>
    <xf numFmtId="9" fontId="8" fillId="0" borderId="1" xfId="0" applyNumberFormat="1" applyFont="1" applyFill="1" applyBorder="1" applyAlignment="1">
      <alignment horizontal="center"/>
    </xf>
    <xf numFmtId="43" fontId="8" fillId="0" borderId="1" xfId="0" applyNumberFormat="1" applyFont="1" applyFill="1" applyBorder="1"/>
    <xf numFmtId="0" fontId="0" fillId="0" borderId="1" xfId="0" applyBorder="1"/>
    <xf numFmtId="9" fontId="8" fillId="0" borderId="1" xfId="1" applyFont="1" applyFill="1" applyBorder="1" applyAlignment="1">
      <alignment horizontal="center"/>
    </xf>
    <xf numFmtId="0" fontId="5" fillId="0" borderId="1" xfId="0" applyFont="1" applyBorder="1" applyAlignment="1">
      <alignment horizontal="center" vertical="center"/>
    </xf>
    <xf numFmtId="169" fontId="6" fillId="0" borderId="1" xfId="2" applyNumberFormat="1" applyFont="1" applyBorder="1" applyAlignment="1">
      <alignment horizontal="center" vertical="center" wrapText="1"/>
    </xf>
    <xf numFmtId="0" fontId="5" fillId="0" borderId="14" xfId="0" applyFont="1" applyBorder="1" applyAlignment="1">
      <alignment horizontal="center" vertical="center"/>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165" fontId="5" fillId="0" borderId="1" xfId="2" applyNumberFormat="1" applyFont="1" applyFill="1" applyBorder="1" applyAlignment="1">
      <alignment horizontal="right"/>
    </xf>
    <xf numFmtId="49" fontId="5" fillId="0" borderId="1" xfId="0" applyNumberFormat="1" applyFont="1" applyFill="1" applyBorder="1" applyAlignment="1">
      <alignment horizontal="center" vertical="top" wrapText="1"/>
    </xf>
    <xf numFmtId="164" fontId="5" fillId="0" borderId="1" xfId="2" applyFont="1" applyFill="1" applyBorder="1" applyAlignment="1">
      <alignment horizontal="right"/>
    </xf>
    <xf numFmtId="164" fontId="5" fillId="0" borderId="0" xfId="2" applyFont="1" applyFill="1" applyBorder="1" applyAlignment="1">
      <alignment horizontal="center"/>
    </xf>
    <xf numFmtId="0" fontId="11" fillId="0" borderId="6" xfId="0" applyFont="1" applyBorder="1" applyAlignment="1">
      <alignment vertical="center"/>
    </xf>
    <xf numFmtId="0" fontId="0" fillId="0" borderId="11" xfId="0" applyFill="1" applyBorder="1"/>
    <xf numFmtId="0" fontId="0" fillId="0" borderId="7" xfId="0" applyFill="1" applyBorder="1" applyAlignment="1">
      <alignment horizontal="center"/>
    </xf>
    <xf numFmtId="164" fontId="0" fillId="0" borderId="0" xfId="2" applyFont="1" applyBorder="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64" fontId="8" fillId="0" borderId="0" xfId="2" applyFont="1" applyBorder="1" applyAlignment="1">
      <alignment horizontal="center"/>
    </xf>
    <xf numFmtId="0" fontId="5" fillId="0" borderId="1" xfId="0" applyFont="1" applyBorder="1" applyAlignment="1">
      <alignment horizontal="center" vertical="center"/>
    </xf>
    <xf numFmtId="164" fontId="5" fillId="0" borderId="1" xfId="2" applyFont="1" applyBorder="1" applyAlignment="1">
      <alignment horizontal="right" vertical="center"/>
    </xf>
    <xf numFmtId="4" fontId="5" fillId="0" borderId="0" xfId="0" applyNumberFormat="1" applyFont="1"/>
    <xf numFmtId="2" fontId="5" fillId="0" borderId="1" xfId="0" applyNumberFormat="1" applyFont="1" applyFill="1" applyBorder="1" applyAlignment="1">
      <alignment horizontal="right" vertical="center"/>
    </xf>
    <xf numFmtId="0" fontId="19" fillId="0" borderId="0" xfId="16" applyFont="1" applyAlignment="1">
      <alignment wrapText="1"/>
    </xf>
    <xf numFmtId="0" fontId="35" fillId="0" borderId="0" xfId="16" applyFont="1" applyAlignment="1">
      <alignment wrapText="1"/>
    </xf>
    <xf numFmtId="0" fontId="35" fillId="0" borderId="0" xfId="16" applyFont="1" applyAlignment="1">
      <alignment horizontal="left" wrapText="1"/>
    </xf>
    <xf numFmtId="0" fontId="20" fillId="0" borderId="0" xfId="16" applyFont="1" applyAlignment="1">
      <alignment horizontal="center" wrapText="1"/>
    </xf>
    <xf numFmtId="0" fontId="22" fillId="0" borderId="0" xfId="16" applyFont="1" applyAlignment="1">
      <alignment wrapText="1"/>
    </xf>
    <xf numFmtId="0" fontId="22" fillId="0" borderId="0" xfId="16" applyFont="1" applyAlignment="1">
      <alignment horizontal="left" wrapText="1"/>
    </xf>
    <xf numFmtId="0" fontId="21" fillId="0" borderId="0" xfId="16" applyFont="1" applyAlignment="1">
      <alignment horizontal="right" vertical="center" wrapText="1"/>
    </xf>
    <xf numFmtId="0" fontId="20" fillId="0" borderId="0" xfId="16" applyFont="1" applyAlignment="1">
      <alignment wrapText="1"/>
    </xf>
    <xf numFmtId="0" fontId="20" fillId="8" borderId="0" xfId="16" applyFont="1" applyFill="1" applyAlignment="1" applyProtection="1">
      <alignment horizontal="left" vertical="center" wrapText="1"/>
      <protection locked="0"/>
    </xf>
    <xf numFmtId="10" fontId="20" fillId="8" borderId="0" xfId="16" applyNumberFormat="1" applyFont="1" applyFill="1" applyAlignment="1" applyProtection="1">
      <alignment horizontal="left" vertical="center" wrapText="1"/>
      <protection locked="0"/>
    </xf>
    <xf numFmtId="0" fontId="22" fillId="0" borderId="0" xfId="16" applyFont="1" applyAlignment="1">
      <alignment horizontal="right" vertical="center" wrapText="1"/>
    </xf>
    <xf numFmtId="10" fontId="20" fillId="0" borderId="0" xfId="16" applyNumberFormat="1" applyFont="1" applyAlignment="1">
      <alignment horizontal="left" vertical="center" wrapText="1"/>
    </xf>
    <xf numFmtId="0" fontId="4" fillId="0" borderId="0" xfId="17" applyAlignment="1">
      <alignment wrapText="1"/>
    </xf>
    <xf numFmtId="0" fontId="23" fillId="0" borderId="0" xfId="17" applyFont="1" applyAlignment="1">
      <alignment wrapText="1"/>
    </xf>
    <xf numFmtId="0" fontId="24" fillId="0" borderId="0" xfId="17" applyFont="1" applyAlignment="1">
      <alignment wrapText="1"/>
    </xf>
    <xf numFmtId="0" fontId="11" fillId="0" borderId="0" xfId="17" applyFont="1" applyAlignment="1">
      <alignment horizontal="center" wrapText="1"/>
    </xf>
    <xf numFmtId="0" fontId="11" fillId="0" borderId="0" xfId="17" applyFont="1" applyAlignment="1">
      <alignment wrapText="1"/>
    </xf>
    <xf numFmtId="0" fontId="4" fillId="8" borderId="0" xfId="17" applyFill="1" applyAlignment="1" applyProtection="1">
      <alignment wrapText="1"/>
      <protection locked="0"/>
    </xf>
    <xf numFmtId="0" fontId="24" fillId="0" borderId="0" xfId="17" applyFont="1" applyAlignment="1">
      <alignment horizontal="center" wrapText="1"/>
    </xf>
    <xf numFmtId="0" fontId="4" fillId="0" borderId="0" xfId="17" applyAlignment="1">
      <alignment horizontal="center" wrapText="1"/>
    </xf>
    <xf numFmtId="0" fontId="4" fillId="0" borderId="0" xfId="17" applyAlignment="1">
      <alignment horizontal="right" wrapText="1"/>
    </xf>
    <xf numFmtId="0" fontId="4" fillId="0" borderId="15" xfId="17" applyBorder="1" applyAlignment="1">
      <alignment horizontal="justify" vertical="top" wrapText="1"/>
    </xf>
    <xf numFmtId="2" fontId="4" fillId="8" borderId="16" xfId="17" applyNumberFormat="1" applyFill="1" applyBorder="1" applyAlignment="1" applyProtection="1">
      <alignment horizontal="center" vertical="top" wrapText="1"/>
      <protection locked="0"/>
    </xf>
    <xf numFmtId="0" fontId="4" fillId="0" borderId="4" xfId="17" applyBorder="1" applyAlignment="1">
      <alignment horizontal="center" vertical="top" wrapText="1"/>
    </xf>
    <xf numFmtId="0" fontId="22" fillId="0" borderId="0" xfId="17" applyFont="1" applyAlignment="1">
      <alignment horizontal="center" wrapText="1"/>
    </xf>
    <xf numFmtId="0" fontId="15" fillId="0" borderId="2" xfId="17" applyFont="1" applyBorder="1" applyAlignment="1">
      <alignment horizontal="justify" vertical="top" wrapText="1"/>
    </xf>
    <xf numFmtId="2" fontId="4" fillId="0" borderId="2" xfId="17" applyNumberFormat="1" applyBorder="1" applyAlignment="1">
      <alignment horizontal="center" vertical="top" wrapText="1"/>
    </xf>
    <xf numFmtId="0" fontId="4" fillId="0" borderId="2" xfId="17" applyBorder="1" applyAlignment="1">
      <alignment horizontal="center" vertical="top" wrapText="1"/>
    </xf>
    <xf numFmtId="0" fontId="11" fillId="0" borderId="15" xfId="17" applyFont="1" applyBorder="1" applyAlignment="1">
      <alignment horizontal="justify" wrapText="1"/>
    </xf>
    <xf numFmtId="2" fontId="11" fillId="0" borderId="16" xfId="17" applyNumberFormat="1" applyFont="1" applyBorder="1" applyAlignment="1">
      <alignment horizontal="center" wrapText="1"/>
    </xf>
    <xf numFmtId="0" fontId="11" fillId="0" borderId="4" xfId="17" applyFont="1" applyBorder="1" applyAlignment="1">
      <alignment horizontal="center" vertical="top" wrapText="1"/>
    </xf>
    <xf numFmtId="0" fontId="15" fillId="0" borderId="15" xfId="17" applyFont="1" applyBorder="1" applyAlignment="1">
      <alignment horizontal="left" vertical="top" wrapText="1"/>
    </xf>
    <xf numFmtId="2" fontId="4" fillId="0" borderId="16" xfId="17" applyNumberFormat="1" applyBorder="1" applyAlignment="1">
      <alignment horizontal="center" vertical="top" wrapText="1"/>
    </xf>
    <xf numFmtId="2" fontId="4" fillId="0" borderId="4" xfId="17" applyNumberFormat="1" applyBorder="1" applyAlignment="1">
      <alignment horizontal="center" vertical="top" wrapText="1"/>
    </xf>
    <xf numFmtId="10" fontId="36" fillId="0" borderId="0" xfId="18" applyNumberFormat="1" applyFont="1" applyBorder="1" applyAlignment="1" applyProtection="1">
      <alignment horizontal="center" vertical="center" wrapText="1"/>
    </xf>
    <xf numFmtId="10" fontId="36" fillId="0" borderId="0" xfId="18" applyNumberFormat="1" applyFont="1" applyBorder="1" applyAlignment="1" applyProtection="1">
      <alignment horizontal="left" vertical="center" wrapText="1"/>
    </xf>
    <xf numFmtId="10" fontId="28" fillId="0" borderId="0" xfId="18" applyNumberFormat="1" applyFont="1" applyAlignment="1" applyProtection="1">
      <alignment wrapText="1"/>
    </xf>
    <xf numFmtId="167" fontId="28" fillId="0" borderId="0" xfId="18" applyNumberFormat="1" applyFont="1" applyAlignment="1" applyProtection="1">
      <alignment horizontal="center" wrapText="1"/>
    </xf>
    <xf numFmtId="0" fontId="8" fillId="0" borderId="0" xfId="17" applyFont="1" applyAlignment="1">
      <alignment horizontal="left" wrapText="1"/>
    </xf>
    <xf numFmtId="0" fontId="6" fillId="8" borderId="12" xfId="16" applyFont="1" applyFill="1" applyBorder="1" applyAlignment="1" applyProtection="1">
      <alignment horizontal="center" vertical="center" wrapText="1"/>
      <protection locked="0"/>
    </xf>
    <xf numFmtId="0" fontId="5" fillId="8" borderId="0" xfId="16" applyFont="1" applyFill="1" applyAlignment="1" applyProtection="1">
      <alignment horizontal="center" vertical="center" wrapText="1"/>
      <protection locked="0"/>
    </xf>
    <xf numFmtId="0" fontId="5" fillId="0" borderId="1" xfId="0" applyFont="1" applyBorder="1" applyAlignment="1">
      <alignment horizontal="center" vertical="center"/>
    </xf>
    <xf numFmtId="9" fontId="0" fillId="0" borderId="0" xfId="1" applyFont="1"/>
    <xf numFmtId="49" fontId="5" fillId="0" borderId="1" xfId="0" quotePrefix="1" applyNumberFormat="1" applyFont="1" applyFill="1" applyBorder="1" applyAlignment="1">
      <alignment horizontal="center" vertical="top" wrapText="1"/>
    </xf>
    <xf numFmtId="49" fontId="5" fillId="0" borderId="1" xfId="0" applyNumberFormat="1" applyFont="1" applyFill="1" applyBorder="1" applyAlignment="1">
      <alignment horizontal="center" vertical="center" wrapText="1"/>
    </xf>
    <xf numFmtId="164" fontId="8" fillId="0" borderId="0" xfId="2" applyFont="1" applyBorder="1" applyAlignment="1">
      <alignment horizontal="center"/>
    </xf>
    <xf numFmtId="0" fontId="0" fillId="0" borderId="0" xfId="0" applyAlignment="1">
      <alignment horizontal="center"/>
    </xf>
    <xf numFmtId="0" fontId="5" fillId="0" borderId="1" xfId="0" applyFont="1" applyFill="1" applyBorder="1" applyAlignment="1">
      <alignment horizontal="center"/>
    </xf>
    <xf numFmtId="44" fontId="0" fillId="0" borderId="1" xfId="19" applyFont="1" applyBorder="1"/>
    <xf numFmtId="44" fontId="11" fillId="0" borderId="3" xfId="0" applyNumberFormat="1" applyFont="1" applyBorder="1" applyAlignment="1"/>
    <xf numFmtId="0" fontId="11" fillId="0" borderId="2" xfId="0" applyFont="1" applyBorder="1" applyAlignment="1"/>
    <xf numFmtId="0" fontId="11" fillId="0" borderId="4" xfId="0" applyFont="1" applyBorder="1" applyAlignment="1"/>
    <xf numFmtId="49" fontId="5" fillId="0" borderId="1" xfId="0" applyNumberFormat="1" applyFont="1" applyFill="1" applyBorder="1" applyAlignment="1">
      <alignment horizontal="center" vertical="center"/>
    </xf>
    <xf numFmtId="164" fontId="5" fillId="0" borderId="0" xfId="2" applyFont="1"/>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1" fillId="0" borderId="12" xfId="0" applyFont="1" applyBorder="1" applyAlignment="1">
      <alignment horizontal="center"/>
    </xf>
    <xf numFmtId="0" fontId="4" fillId="0" borderId="0" xfId="0" applyFont="1" applyAlignment="1">
      <alignment horizontal="center"/>
    </xf>
    <xf numFmtId="0" fontId="6" fillId="0" borderId="3" xfId="0" applyFont="1" applyFill="1" applyBorder="1" applyAlignment="1">
      <alignment horizontal="right" vertical="center"/>
    </xf>
    <xf numFmtId="0" fontId="6" fillId="0" borderId="2" xfId="0" applyFont="1" applyFill="1" applyBorder="1" applyAlignment="1">
      <alignment horizontal="right" vertical="center"/>
    </xf>
    <xf numFmtId="0" fontId="6" fillId="0" borderId="4" xfId="0" applyFont="1" applyFill="1" applyBorder="1" applyAlignment="1">
      <alignment horizontal="right" vertical="center"/>
    </xf>
    <xf numFmtId="0" fontId="5" fillId="0" borderId="3" xfId="0" applyFont="1" applyFill="1" applyBorder="1" applyAlignment="1">
      <alignment horizontal="left" vertical="center"/>
    </xf>
    <xf numFmtId="0" fontId="5" fillId="0" borderId="2" xfId="0" applyFont="1" applyFill="1" applyBorder="1" applyAlignment="1">
      <alignment horizontal="left" vertical="center"/>
    </xf>
    <xf numFmtId="0" fontId="5" fillId="0" borderId="4" xfId="0" applyFont="1" applyFill="1" applyBorder="1" applyAlignment="1">
      <alignment horizontal="left" vertical="center"/>
    </xf>
    <xf numFmtId="0" fontId="6" fillId="0" borderId="3" xfId="0" applyFont="1" applyFill="1" applyBorder="1" applyAlignment="1">
      <alignment horizontal="left" vertical="center"/>
    </xf>
    <xf numFmtId="0" fontId="6" fillId="0" borderId="2" xfId="0" applyFont="1" applyFill="1" applyBorder="1" applyAlignment="1">
      <alignment horizontal="left" vertical="center"/>
    </xf>
    <xf numFmtId="0" fontId="6" fillId="0" borderId="4" xfId="0" applyFont="1" applyFill="1" applyBorder="1" applyAlignment="1">
      <alignment horizontal="left" vertical="center"/>
    </xf>
    <xf numFmtId="0" fontId="0" fillId="0" borderId="0" xfId="0" applyAlignment="1">
      <alignment horizont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2" xfId="0" applyFont="1" applyFill="1" applyBorder="1" applyAlignment="1">
      <alignment horizontal="justify"/>
    </xf>
    <xf numFmtId="0" fontId="4" fillId="0" borderId="0" xfId="0" applyFont="1" applyAlignment="1">
      <alignment horizontal="left"/>
    </xf>
    <xf numFmtId="0" fontId="0" fillId="0" borderId="0" xfId="0" applyAlignment="1">
      <alignment horizontal="left"/>
    </xf>
    <xf numFmtId="0" fontId="18" fillId="0" borderId="11" xfId="0" applyFont="1" applyBorder="1" applyAlignment="1">
      <alignment horizontal="center"/>
    </xf>
    <xf numFmtId="0" fontId="18" fillId="0" borderId="12" xfId="0" applyFont="1" applyBorder="1" applyAlignment="1">
      <alignment horizontal="center"/>
    </xf>
    <xf numFmtId="0" fontId="18" fillId="0" borderId="13" xfId="0" applyFont="1" applyBorder="1" applyAlignment="1">
      <alignment horizontal="center"/>
    </xf>
    <xf numFmtId="0" fontId="13" fillId="0" borderId="7" xfId="0" applyFont="1" applyBorder="1" applyAlignment="1">
      <alignment horizontal="center"/>
    </xf>
    <xf numFmtId="0" fontId="13" fillId="0" borderId="5" xfId="0" applyFont="1" applyBorder="1" applyAlignment="1">
      <alignment horizontal="center"/>
    </xf>
    <xf numFmtId="0" fontId="13" fillId="0" borderId="8" xfId="0" applyFont="1" applyBorder="1" applyAlignment="1">
      <alignment horizontal="center"/>
    </xf>
    <xf numFmtId="0" fontId="5" fillId="0" borderId="1" xfId="0" applyFont="1" applyBorder="1" applyAlignment="1">
      <alignment horizontal="center" vertical="center"/>
    </xf>
    <xf numFmtId="0" fontId="5" fillId="0" borderId="14" xfId="0" applyFont="1" applyBorder="1" applyAlignment="1">
      <alignment horizontal="center" vertical="center"/>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6" xfId="0" applyFont="1" applyFill="1" applyBorder="1" applyAlignment="1">
      <alignment horizontal="left" vertical="center"/>
    </xf>
    <xf numFmtId="0" fontId="8" fillId="0" borderId="1" xfId="0" applyFont="1" applyFill="1" applyBorder="1" applyAlignment="1">
      <alignment horizontal="center" vertical="center" wrapText="1"/>
    </xf>
    <xf numFmtId="0" fontId="6" fillId="0" borderId="7" xfId="0" applyFont="1" applyFill="1" applyBorder="1" applyAlignment="1">
      <alignment horizontal="left" vertical="center"/>
    </xf>
    <xf numFmtId="0" fontId="6" fillId="0" borderId="5" xfId="0" applyFont="1" applyFill="1" applyBorder="1" applyAlignment="1">
      <alignment horizontal="left"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4" xfId="0" applyFont="1" applyFill="1" applyBorder="1" applyAlignment="1">
      <alignment horizontal="left" vertical="top" wrapText="1"/>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1" xfId="0" applyFont="1" applyBorder="1" applyAlignment="1">
      <alignment horizontal="left" vertical="center"/>
    </xf>
    <xf numFmtId="0" fontId="5" fillId="2" borderId="1" xfId="0" applyFont="1" applyFill="1" applyBorder="1" applyAlignment="1">
      <alignment horizontal="left" vertical="center"/>
    </xf>
    <xf numFmtId="0" fontId="0" fillId="0" borderId="1" xfId="0" applyBorder="1" applyAlignment="1">
      <alignment horizontal="center"/>
    </xf>
    <xf numFmtId="0" fontId="4" fillId="0" borderId="1" xfId="0" applyFont="1" applyBorder="1" applyAlignment="1">
      <alignment horizontal="left"/>
    </xf>
    <xf numFmtId="0" fontId="0" fillId="0" borderId="1" xfId="0" applyBorder="1" applyAlignment="1">
      <alignment horizontal="left"/>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wrapText="1"/>
    </xf>
    <xf numFmtId="0" fontId="5" fillId="0" borderId="1" xfId="0" applyFont="1" applyFill="1" applyBorder="1" applyAlignment="1">
      <alignment horizontal="left"/>
    </xf>
    <xf numFmtId="0" fontId="5" fillId="0" borderId="3" xfId="0" applyFont="1" applyFill="1" applyBorder="1" applyAlignment="1">
      <alignment horizontal="left" wrapText="1"/>
    </xf>
    <xf numFmtId="0" fontId="5" fillId="0" borderId="2" xfId="0" applyFont="1" applyFill="1" applyBorder="1" applyAlignment="1">
      <alignment horizontal="left" wrapText="1"/>
    </xf>
    <xf numFmtId="0" fontId="5" fillId="0" borderId="4" xfId="0" applyFont="1" applyFill="1" applyBorder="1" applyAlignment="1">
      <alignment horizontal="left" wrapText="1"/>
    </xf>
    <xf numFmtId="0" fontId="5" fillId="0" borderId="1" xfId="0" applyFont="1" applyFill="1" applyBorder="1" applyAlignment="1">
      <alignment horizontal="center"/>
    </xf>
    <xf numFmtId="0" fontId="6" fillId="0" borderId="1"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Fill="1" applyBorder="1" applyAlignment="1">
      <alignment horizontal="left" vertical="top"/>
    </xf>
    <xf numFmtId="0" fontId="18" fillId="0" borderId="12" xfId="0" applyFont="1" applyFill="1" applyBorder="1" applyAlignment="1">
      <alignment horizontal="center" wrapText="1"/>
    </xf>
    <xf numFmtId="0" fontId="18" fillId="0" borderId="13" xfId="0" applyFont="1" applyFill="1" applyBorder="1" applyAlignment="1">
      <alignment horizontal="center" wrapText="1"/>
    </xf>
    <xf numFmtId="0" fontId="9" fillId="0" borderId="5" xfId="0" applyFont="1" applyFill="1" applyBorder="1" applyAlignment="1">
      <alignment horizontal="center" vertical="center"/>
    </xf>
    <xf numFmtId="0" fontId="9" fillId="0" borderId="8" xfId="0" applyFont="1" applyFill="1" applyBorder="1" applyAlignment="1">
      <alignment horizontal="center" vertical="center"/>
    </xf>
    <xf numFmtId="0" fontId="6" fillId="0" borderId="6" xfId="0" applyFont="1" applyBorder="1" applyAlignment="1">
      <alignment horizontal="left" vertical="center" wrapText="1"/>
    </xf>
    <xf numFmtId="0" fontId="11" fillId="0" borderId="1" xfId="0" applyFont="1" applyBorder="1" applyAlignment="1">
      <alignment horizontal="left" vertical="center" wrapText="1"/>
    </xf>
    <xf numFmtId="0" fontId="9" fillId="0" borderId="1" xfId="0" applyFont="1" applyFill="1" applyBorder="1" applyAlignment="1">
      <alignment horizontal="center" vertical="center"/>
    </xf>
    <xf numFmtId="0" fontId="5" fillId="2" borderId="1" xfId="0" applyFont="1" applyFill="1" applyBorder="1" applyAlignment="1">
      <alignment horizontal="left" vertical="top"/>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2" borderId="1" xfId="0" applyFont="1" applyFill="1" applyBorder="1" applyAlignment="1">
      <alignment horizontal="left" vertical="top" wrapText="1"/>
    </xf>
    <xf numFmtId="4" fontId="6" fillId="0" borderId="1" xfId="0" applyNumberFormat="1" applyFont="1" applyBorder="1" applyAlignment="1">
      <alignment horizontal="center" vertical="center"/>
    </xf>
    <xf numFmtId="165" fontId="5" fillId="0" borderId="1" xfId="2" applyNumberFormat="1" applyFont="1" applyFill="1" applyBorder="1" applyAlignment="1">
      <alignment horizontal="center" vertical="center"/>
    </xf>
    <xf numFmtId="0" fontId="5" fillId="0" borderId="1" xfId="0" applyFont="1" applyFill="1" applyBorder="1" applyAlignment="1">
      <alignment horizontal="left" vertical="top" wrapText="1"/>
    </xf>
    <xf numFmtId="0" fontId="5" fillId="0" borderId="1" xfId="0" applyFont="1" applyBorder="1" applyAlignment="1">
      <alignment horizontal="left" wrapText="1"/>
    </xf>
    <xf numFmtId="0" fontId="4" fillId="0" borderId="0" xfId="0" applyFont="1" applyBorder="1" applyAlignment="1">
      <alignment horizontal="center"/>
    </xf>
    <xf numFmtId="0" fontId="0" fillId="0" borderId="0" xfId="0" applyBorder="1" applyAlignment="1">
      <alignment horizontal="center"/>
    </xf>
    <xf numFmtId="0" fontId="11" fillId="0" borderId="0" xfId="0" applyFont="1" applyBorder="1" applyAlignment="1">
      <alignment horizont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6" fillId="2" borderId="1" xfId="0" applyFont="1" applyFill="1" applyBorder="1" applyAlignment="1">
      <alignment horizontal="left" vertical="center"/>
    </xf>
    <xf numFmtId="0" fontId="5" fillId="2" borderId="1" xfId="0" applyFont="1" applyFill="1" applyBorder="1" applyAlignment="1">
      <alignment horizontal="center" vertical="center"/>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165" fontId="5" fillId="0" borderId="3" xfId="2" applyNumberFormat="1" applyFont="1" applyFill="1" applyBorder="1" applyAlignment="1">
      <alignment horizontal="left" vertical="center"/>
    </xf>
    <xf numFmtId="165" fontId="5" fillId="0" borderId="2" xfId="2" applyNumberFormat="1" applyFont="1" applyFill="1" applyBorder="1" applyAlignment="1">
      <alignment horizontal="left" vertical="center"/>
    </xf>
    <xf numFmtId="165" fontId="5" fillId="0" borderId="4" xfId="2" applyNumberFormat="1" applyFont="1" applyFill="1" applyBorder="1" applyAlignment="1">
      <alignment horizontal="left" vertical="center"/>
    </xf>
    <xf numFmtId="0" fontId="10" fillId="0" borderId="7"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8"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6" fillId="0" borderId="6" xfId="0" applyFont="1" applyBorder="1" applyAlignment="1">
      <alignment horizontal="center" vertical="center"/>
    </xf>
    <xf numFmtId="0" fontId="6" fillId="0" borderId="1" xfId="0" applyFont="1" applyBorder="1" applyAlignment="1">
      <alignment horizontal="center" vertical="center"/>
    </xf>
    <xf numFmtId="164" fontId="7" fillId="0" borderId="6" xfId="2" applyFont="1" applyBorder="1" applyAlignment="1">
      <alignment horizontal="center" vertical="center" wrapText="1"/>
    </xf>
    <xf numFmtId="164" fontId="7" fillId="0" borderId="1" xfId="2" applyFont="1" applyBorder="1" applyAlignment="1">
      <alignment horizontal="center" vertical="center" wrapText="1"/>
    </xf>
    <xf numFmtId="0" fontId="7" fillId="0" borderId="11" xfId="0" applyFont="1" applyBorder="1" applyAlignment="1">
      <alignment horizontal="left" vertical="center" wrapText="1"/>
    </xf>
    <xf numFmtId="0" fontId="7" fillId="0" borderId="13"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14" xfId="0" applyFont="1" applyBorder="1" applyAlignment="1">
      <alignment horizontal="center" vertical="center"/>
    </xf>
    <xf numFmtId="0" fontId="7" fillId="0" borderId="17" xfId="0" applyFont="1" applyBorder="1" applyAlignment="1">
      <alignment horizontal="center" vertical="center"/>
    </xf>
    <xf numFmtId="0" fontId="7" fillId="0" borderId="6" xfId="0" applyFont="1" applyBorder="1" applyAlignment="1">
      <alignment horizontal="center" vertical="center"/>
    </xf>
    <xf numFmtId="0" fontId="7" fillId="0" borderId="1" xfId="0" applyFont="1" applyBorder="1" applyAlignment="1">
      <alignment horizontal="left" vertical="center" wrapText="1"/>
    </xf>
    <xf numFmtId="0" fontId="5" fillId="0" borderId="0" xfId="0" applyFont="1" applyBorder="1" applyAlignment="1">
      <alignment horizontal="left"/>
    </xf>
    <xf numFmtId="0" fontId="5" fillId="0" borderId="5" xfId="0" applyFont="1" applyFill="1" applyBorder="1" applyAlignment="1">
      <alignment horizontal="center" vertical="center"/>
    </xf>
    <xf numFmtId="164" fontId="6" fillId="0" borderId="12" xfId="2" applyFont="1" applyFill="1" applyBorder="1" applyAlignment="1">
      <alignment horizontal="center" vertical="center"/>
    </xf>
    <xf numFmtId="164" fontId="6" fillId="0" borderId="0" xfId="2" applyFont="1" applyFill="1" applyBorder="1" applyAlignment="1">
      <alignment horizontal="center" vertical="center"/>
    </xf>
    <xf numFmtId="0" fontId="6" fillId="0" borderId="12"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Border="1" applyAlignment="1">
      <alignment horizontal="right" vertical="center"/>
    </xf>
    <xf numFmtId="164" fontId="18" fillId="0" borderId="11" xfId="2" applyFont="1" applyBorder="1" applyAlignment="1">
      <alignment horizontal="center" vertical="center" textRotation="90" wrapText="1"/>
    </xf>
    <xf numFmtId="164" fontId="18" fillId="0" borderId="12" xfId="2" applyFont="1" applyBorder="1" applyAlignment="1">
      <alignment horizontal="center" vertical="center" textRotation="90" wrapText="1"/>
    </xf>
    <xf numFmtId="164" fontId="18" fillId="0" borderId="13" xfId="2" applyFont="1" applyBorder="1" applyAlignment="1">
      <alignment horizontal="center" vertical="center" textRotation="90" wrapText="1"/>
    </xf>
    <xf numFmtId="164" fontId="18" fillId="0" borderId="9" xfId="2" applyFont="1" applyBorder="1" applyAlignment="1">
      <alignment horizontal="center" vertical="center" textRotation="90" wrapText="1"/>
    </xf>
    <xf numFmtId="164" fontId="18" fillId="0" borderId="0" xfId="2" applyFont="1" applyBorder="1" applyAlignment="1">
      <alignment horizontal="center" vertical="center" textRotation="90" wrapText="1"/>
    </xf>
    <xf numFmtId="164" fontId="18" fillId="0" borderId="10" xfId="2" applyFont="1" applyBorder="1" applyAlignment="1">
      <alignment horizontal="center" vertical="center" textRotation="90" wrapText="1"/>
    </xf>
    <xf numFmtId="164" fontId="18" fillId="0" borderId="7" xfId="2" applyFont="1" applyBorder="1" applyAlignment="1">
      <alignment horizontal="center" vertical="center" textRotation="90" wrapText="1"/>
    </xf>
    <xf numFmtId="164" fontId="18" fillId="0" borderId="5" xfId="2" applyFont="1" applyBorder="1" applyAlignment="1">
      <alignment horizontal="center" vertical="center" textRotation="90" wrapText="1"/>
    </xf>
    <xf numFmtId="164" fontId="18" fillId="0" borderId="8" xfId="2" applyFont="1" applyBorder="1" applyAlignment="1">
      <alignment horizontal="center" vertical="center" textRotation="90" wrapText="1"/>
    </xf>
    <xf numFmtId="0" fontId="10" fillId="0" borderId="1" xfId="6" applyFont="1" applyBorder="1" applyAlignment="1">
      <alignment horizontal="center" vertical="center"/>
    </xf>
    <xf numFmtId="0" fontId="11" fillId="0" borderId="0" xfId="6" applyFont="1" applyBorder="1" applyAlignment="1">
      <alignment horizontal="center" vertical="center"/>
    </xf>
    <xf numFmtId="0" fontId="6" fillId="0" borderId="3" xfId="6" applyFont="1" applyBorder="1" applyAlignment="1">
      <alignment horizontal="left" vertical="center"/>
    </xf>
    <xf numFmtId="0" fontId="6" fillId="0" borderId="2" xfId="6" applyFont="1" applyBorder="1" applyAlignment="1">
      <alignment horizontal="left" vertical="center"/>
    </xf>
    <xf numFmtId="0" fontId="6" fillId="0" borderId="4" xfId="6" applyFont="1" applyBorder="1" applyAlignment="1">
      <alignment horizontal="left" vertical="center"/>
    </xf>
    <xf numFmtId="0" fontId="7" fillId="0" borderId="2" xfId="6" applyFont="1" applyBorder="1" applyAlignment="1">
      <alignment horizontal="left" vertical="center" wrapText="1"/>
    </xf>
    <xf numFmtId="0" fontId="7" fillId="0" borderId="4" xfId="6" applyFont="1" applyBorder="1" applyAlignment="1">
      <alignment horizontal="left" vertical="center" wrapText="1"/>
    </xf>
    <xf numFmtId="0" fontId="8" fillId="0" borderId="3" xfId="6" applyFont="1" applyBorder="1" applyAlignment="1">
      <alignment horizontal="left" vertical="center" wrapText="1"/>
    </xf>
    <xf numFmtId="0" fontId="8" fillId="0" borderId="2" xfId="6" applyFont="1" applyBorder="1" applyAlignment="1">
      <alignment horizontal="left" vertical="center" wrapText="1"/>
    </xf>
    <xf numFmtId="0" fontId="13" fillId="0" borderId="11" xfId="6" applyFont="1" applyBorder="1" applyAlignment="1">
      <alignment horizontal="center" vertical="center"/>
    </xf>
    <xf numFmtId="0" fontId="13" fillId="0" borderId="12" xfId="6" applyFont="1" applyBorder="1" applyAlignment="1">
      <alignment horizontal="center" vertical="center"/>
    </xf>
    <xf numFmtId="0" fontId="13" fillId="0" borderId="13" xfId="6" applyFont="1" applyBorder="1" applyAlignment="1">
      <alignment horizontal="center" vertical="center"/>
    </xf>
    <xf numFmtId="0" fontId="13" fillId="0" borderId="9" xfId="6" applyFont="1" applyBorder="1" applyAlignment="1">
      <alignment horizontal="center" vertical="center"/>
    </xf>
    <xf numFmtId="0" fontId="13" fillId="0" borderId="0" xfId="6" applyFont="1" applyBorder="1" applyAlignment="1">
      <alignment horizontal="center" vertical="center"/>
    </xf>
    <xf numFmtId="0" fontId="13" fillId="0" borderId="10" xfId="6" applyFont="1" applyBorder="1" applyAlignment="1">
      <alignment horizontal="center" vertical="center"/>
    </xf>
    <xf numFmtId="0" fontId="10" fillId="0" borderId="5" xfId="6" applyFont="1" applyBorder="1" applyAlignment="1">
      <alignment horizontal="center" vertical="center"/>
    </xf>
    <xf numFmtId="0" fontId="10" fillId="0" borderId="8" xfId="6" applyFont="1" applyBorder="1" applyAlignment="1">
      <alignment horizontal="center" vertical="center"/>
    </xf>
    <xf numFmtId="0" fontId="11" fillId="3" borderId="3" xfId="6" applyFont="1" applyFill="1" applyBorder="1" applyAlignment="1">
      <alignment horizontal="left" vertical="center" wrapText="1"/>
    </xf>
    <xf numFmtId="0" fontId="11" fillId="3" borderId="2" xfId="6" applyFont="1" applyFill="1" applyBorder="1" applyAlignment="1">
      <alignment horizontal="left" vertical="center" wrapText="1"/>
    </xf>
    <xf numFmtId="0" fontId="11" fillId="3" borderId="4" xfId="6" applyFont="1" applyFill="1" applyBorder="1" applyAlignment="1">
      <alignment horizontal="left" vertical="center" wrapText="1"/>
    </xf>
    <xf numFmtId="0" fontId="11" fillId="3" borderId="3" xfId="6" applyFont="1" applyFill="1" applyBorder="1" applyAlignment="1">
      <alignment horizontal="center" vertical="center"/>
    </xf>
    <xf numFmtId="0" fontId="11" fillId="3" borderId="2" xfId="6" applyFont="1" applyFill="1" applyBorder="1" applyAlignment="1">
      <alignment horizontal="center" vertical="center"/>
    </xf>
    <xf numFmtId="0" fontId="11" fillId="3" borderId="4" xfId="6" applyFont="1" applyFill="1" applyBorder="1" applyAlignment="1">
      <alignment horizontal="center" vertical="center"/>
    </xf>
    <xf numFmtId="0" fontId="7" fillId="0" borderId="3" xfId="6" applyFont="1" applyBorder="1" applyAlignment="1">
      <alignment horizontal="center"/>
    </xf>
    <xf numFmtId="0" fontId="7" fillId="0" borderId="2" xfId="6" applyFont="1" applyBorder="1" applyAlignment="1">
      <alignment horizontal="center"/>
    </xf>
    <xf numFmtId="0" fontId="7" fillId="0" borderId="4" xfId="6" applyFont="1" applyBorder="1" applyAlignment="1">
      <alignment horizontal="center"/>
    </xf>
    <xf numFmtId="0" fontId="8" fillId="0" borderId="3" xfId="6" applyFont="1" applyBorder="1" applyAlignment="1">
      <alignment horizontal="center"/>
    </xf>
    <xf numFmtId="0" fontId="8" fillId="0" borderId="2" xfId="6" applyFont="1" applyBorder="1" applyAlignment="1">
      <alignment horizontal="center"/>
    </xf>
    <xf numFmtId="0" fontId="8" fillId="0" borderId="4" xfId="6" applyFont="1" applyBorder="1" applyAlignment="1">
      <alignment horizontal="center"/>
    </xf>
    <xf numFmtId="0" fontId="7" fillId="0" borderId="0" xfId="6" applyFont="1" applyBorder="1" applyAlignment="1">
      <alignment horizontal="center"/>
    </xf>
    <xf numFmtId="0" fontId="8" fillId="0" borderId="0" xfId="6" applyFont="1" applyBorder="1" applyAlignment="1">
      <alignment horizontal="center"/>
    </xf>
    <xf numFmtId="166" fontId="8" fillId="0" borderId="1" xfId="2" applyNumberFormat="1" applyFont="1" applyBorder="1" applyAlignment="1">
      <alignment horizontal="center"/>
    </xf>
    <xf numFmtId="0" fontId="8" fillId="0" borderId="12" xfId="6" applyFont="1" applyBorder="1" applyAlignment="1">
      <alignment horizontal="center"/>
    </xf>
    <xf numFmtId="0" fontId="8" fillId="0" borderId="1" xfId="6" applyFont="1" applyBorder="1" applyAlignment="1">
      <alignment horizontal="center"/>
    </xf>
    <xf numFmtId="166" fontId="8" fillId="0" borderId="14" xfId="2" applyNumberFormat="1" applyFont="1" applyBorder="1" applyAlignment="1">
      <alignment horizontal="center"/>
    </xf>
    <xf numFmtId="0" fontId="8" fillId="0" borderId="3" xfId="6" applyFont="1" applyBorder="1" applyAlignment="1">
      <alignment horizontal="left"/>
    </xf>
    <xf numFmtId="0" fontId="8" fillId="0" borderId="2" xfId="6" applyFont="1" applyBorder="1" applyAlignment="1">
      <alignment horizontal="left"/>
    </xf>
    <xf numFmtId="0" fontId="8" fillId="0" borderId="4" xfId="6" applyFont="1" applyBorder="1" applyAlignment="1">
      <alignment horizontal="left"/>
    </xf>
    <xf numFmtId="0" fontId="8" fillId="0" borderId="3" xfId="6" applyFont="1" applyBorder="1" applyAlignment="1">
      <alignment horizontal="left" vertical="top" wrapText="1"/>
    </xf>
    <xf numFmtId="0" fontId="8" fillId="0" borderId="2" xfId="6" applyFont="1" applyBorder="1" applyAlignment="1">
      <alignment horizontal="left" vertical="top" wrapText="1"/>
    </xf>
    <xf numFmtId="0" fontId="8" fillId="0" borderId="4" xfId="6" applyFont="1" applyBorder="1" applyAlignment="1">
      <alignment horizontal="left" vertical="top" wrapText="1"/>
    </xf>
    <xf numFmtId="168" fontId="8" fillId="0" borderId="3" xfId="2" applyNumberFormat="1" applyFont="1" applyBorder="1" applyAlignment="1">
      <alignment horizontal="center"/>
    </xf>
    <xf numFmtId="168" fontId="8" fillId="0" borderId="4" xfId="2" applyNumberFormat="1" applyFont="1" applyBorder="1" applyAlignment="1">
      <alignment horizontal="center"/>
    </xf>
    <xf numFmtId="164" fontId="8" fillId="0" borderId="3" xfId="2" applyFont="1" applyBorder="1" applyAlignment="1">
      <alignment horizontal="center"/>
    </xf>
    <xf numFmtId="164" fontId="8" fillId="0" borderId="4" xfId="2" applyFont="1" applyBorder="1" applyAlignment="1">
      <alignment horizontal="center"/>
    </xf>
    <xf numFmtId="164" fontId="8" fillId="0" borderId="1" xfId="6" applyNumberFormat="1" applyFont="1" applyBorder="1" applyAlignment="1">
      <alignment horizontal="center"/>
    </xf>
    <xf numFmtId="164" fontId="8" fillId="0" borderId="1" xfId="2" applyFont="1" applyBorder="1" applyAlignment="1">
      <alignment horizontal="center"/>
    </xf>
    <xf numFmtId="0" fontId="7" fillId="0" borderId="3" xfId="6" applyFont="1" applyBorder="1" applyAlignment="1">
      <alignment horizontal="left"/>
    </xf>
    <xf numFmtId="0" fontId="7" fillId="0" borderId="2" xfId="6" applyFont="1" applyBorder="1" applyAlignment="1">
      <alignment horizontal="left"/>
    </xf>
    <xf numFmtId="0" fontId="7" fillId="0" borderId="4" xfId="6" applyFont="1" applyBorder="1" applyAlignment="1">
      <alignment horizontal="left"/>
    </xf>
    <xf numFmtId="0" fontId="7" fillId="0" borderId="6" xfId="6" applyFont="1" applyBorder="1" applyAlignment="1">
      <alignment horizontal="center"/>
    </xf>
    <xf numFmtId="0" fontId="4" fillId="0" borderId="3" xfId="6" applyBorder="1" applyAlignment="1">
      <alignment horizontal="center"/>
    </xf>
    <xf numFmtId="0" fontId="4" fillId="0" borderId="2" xfId="6" applyBorder="1" applyAlignment="1">
      <alignment horizontal="center"/>
    </xf>
    <xf numFmtId="0" fontId="4" fillId="0" borderId="4" xfId="6" applyBorder="1" applyAlignment="1">
      <alignment horizontal="center"/>
    </xf>
    <xf numFmtId="10" fontId="8" fillId="0" borderId="3" xfId="1" applyNumberFormat="1" applyFont="1" applyBorder="1" applyAlignment="1">
      <alignment horizontal="center"/>
    </xf>
    <xf numFmtId="10" fontId="8" fillId="0" borderId="2" xfId="1" applyNumberFormat="1" applyFont="1" applyBorder="1" applyAlignment="1">
      <alignment horizontal="center"/>
    </xf>
    <xf numFmtId="10" fontId="8" fillId="0" borderId="4" xfId="1" applyNumberFormat="1" applyFont="1" applyBorder="1" applyAlignment="1">
      <alignment horizontal="center"/>
    </xf>
    <xf numFmtId="164" fontId="8" fillId="0" borderId="2" xfId="2" applyFont="1" applyBorder="1" applyAlignment="1">
      <alignment horizontal="center"/>
    </xf>
    <xf numFmtId="164" fontId="7" fillId="0" borderId="1" xfId="2" applyFont="1" applyBorder="1" applyAlignment="1">
      <alignment horizontal="center"/>
    </xf>
    <xf numFmtId="10" fontId="8" fillId="0" borderId="1" xfId="1" applyNumberFormat="1" applyFont="1" applyBorder="1" applyAlignment="1">
      <alignment horizontal="center"/>
    </xf>
    <xf numFmtId="0" fontId="7" fillId="0" borderId="3" xfId="6" applyFont="1" applyBorder="1" applyAlignment="1">
      <alignment horizontal="right"/>
    </xf>
    <xf numFmtId="0" fontId="7" fillId="0" borderId="2" xfId="6" applyFont="1" applyBorder="1" applyAlignment="1">
      <alignment horizontal="right"/>
    </xf>
    <xf numFmtId="0" fontId="7" fillId="0" borderId="4" xfId="6" applyFont="1" applyBorder="1" applyAlignment="1">
      <alignment horizontal="right"/>
    </xf>
    <xf numFmtId="0" fontId="8" fillId="0" borderId="0" xfId="6" applyFont="1" applyBorder="1" applyAlignment="1">
      <alignment horizontal="left" wrapText="1"/>
    </xf>
    <xf numFmtId="166" fontId="8" fillId="0" borderId="0" xfId="2" applyNumberFormat="1" applyFont="1" applyBorder="1" applyAlignment="1">
      <alignment horizontal="center"/>
    </xf>
    <xf numFmtId="164" fontId="8" fillId="0" borderId="0" xfId="2" applyFont="1" applyBorder="1" applyAlignment="1">
      <alignment horizontal="center"/>
    </xf>
    <xf numFmtId="0" fontId="8" fillId="0" borderId="3" xfId="6" applyFont="1" applyBorder="1" applyAlignment="1"/>
    <xf numFmtId="0" fontId="8" fillId="0" borderId="2" xfId="6" applyFont="1" applyBorder="1" applyAlignment="1"/>
    <xf numFmtId="0" fontId="8" fillId="0" borderId="4" xfId="6" applyFont="1" applyBorder="1" applyAlignment="1"/>
    <xf numFmtId="9" fontId="8" fillId="0" borderId="1" xfId="1" applyFont="1" applyBorder="1" applyAlignment="1">
      <alignment horizontal="center"/>
    </xf>
    <xf numFmtId="0" fontId="8" fillId="0" borderId="3" xfId="6" applyFont="1" applyBorder="1" applyAlignment="1">
      <alignment horizontal="left" wrapText="1"/>
    </xf>
    <xf numFmtId="0" fontId="8" fillId="0" borderId="2" xfId="6" applyFont="1" applyBorder="1" applyAlignment="1">
      <alignment horizontal="left" wrapText="1"/>
    </xf>
    <xf numFmtId="166" fontId="8" fillId="0" borderId="3" xfId="2" applyNumberFormat="1" applyFont="1" applyBorder="1" applyAlignment="1">
      <alignment horizontal="center"/>
    </xf>
    <xf numFmtId="166" fontId="8" fillId="0" borderId="4" xfId="2" applyNumberFormat="1" applyFont="1" applyBorder="1" applyAlignment="1">
      <alignment horizontal="center"/>
    </xf>
    <xf numFmtId="0" fontId="8" fillId="0" borderId="0" xfId="6" applyFont="1" applyBorder="1" applyAlignment="1">
      <alignment horizontal="justify" wrapText="1"/>
    </xf>
    <xf numFmtId="0" fontId="8" fillId="0" borderId="0" xfId="6" applyFont="1" applyBorder="1" applyAlignment="1">
      <alignment horizontal="left"/>
    </xf>
    <xf numFmtId="164" fontId="8" fillId="0" borderId="12" xfId="2" applyFont="1" applyBorder="1" applyAlignment="1">
      <alignment horizontal="center"/>
    </xf>
    <xf numFmtId="164" fontId="7" fillId="0" borderId="0" xfId="2" applyFont="1" applyBorder="1" applyAlignment="1">
      <alignment horizontal="center"/>
    </xf>
    <xf numFmtId="0" fontId="7" fillId="0" borderId="0" xfId="6" applyFont="1" applyBorder="1" applyAlignment="1">
      <alignment horizontal="left"/>
    </xf>
    <xf numFmtId="164" fontId="8" fillId="0" borderId="0" xfId="6" applyNumberFormat="1" applyFont="1" applyBorder="1" applyAlignment="1">
      <alignment horizontal="center"/>
    </xf>
    <xf numFmtId="10" fontId="8" fillId="0" borderId="0" xfId="1" applyNumberFormat="1" applyFont="1" applyBorder="1" applyAlignment="1">
      <alignment horizontal="center"/>
    </xf>
    <xf numFmtId="0" fontId="7" fillId="0" borderId="0" xfId="6" applyFont="1" applyBorder="1" applyAlignment="1">
      <alignment horizontal="right"/>
    </xf>
    <xf numFmtId="9" fontId="8" fillId="0" borderId="0" xfId="1" applyFont="1" applyBorder="1" applyAlignment="1">
      <alignment horizontal="center"/>
    </xf>
    <xf numFmtId="0" fontId="6" fillId="0" borderId="0" xfId="6" applyFont="1" applyBorder="1" applyAlignment="1">
      <alignment horizontal="left" wrapText="1"/>
    </xf>
    <xf numFmtId="0" fontId="5" fillId="0" borderId="0" xfId="6" applyFont="1" applyBorder="1" applyAlignment="1">
      <alignment horizontal="justify" vertical="center" wrapText="1"/>
    </xf>
    <xf numFmtId="0" fontId="5" fillId="0" borderId="0" xfId="6" applyFont="1" applyBorder="1" applyAlignment="1">
      <alignment horizontal="center"/>
    </xf>
    <xf numFmtId="2" fontId="8" fillId="0" borderId="0" xfId="2" applyNumberFormat="1" applyFont="1" applyBorder="1" applyAlignment="1">
      <alignment horizontal="right"/>
    </xf>
    <xf numFmtId="0" fontId="4" fillId="0" borderId="0" xfId="6" applyBorder="1" applyAlignment="1">
      <alignment horizontal="center"/>
    </xf>
    <xf numFmtId="0" fontId="32" fillId="6" borderId="0" xfId="6" applyFont="1" applyFill="1" applyBorder="1" applyAlignment="1">
      <alignment horizontal="left"/>
    </xf>
    <xf numFmtId="0" fontId="8" fillId="0" borderId="4" xfId="6" applyFont="1" applyBorder="1" applyAlignment="1">
      <alignment horizontal="left" wrapText="1"/>
    </xf>
    <xf numFmtId="0" fontId="11" fillId="0" borderId="0" xfId="17" applyFont="1" applyAlignment="1">
      <alignment wrapText="1"/>
    </xf>
    <xf numFmtId="0" fontId="19" fillId="0" borderId="0" xfId="16" applyFont="1" applyAlignment="1">
      <alignment horizontal="center" vertical="center" wrapText="1"/>
    </xf>
    <xf numFmtId="10" fontId="20" fillId="8" borderId="0" xfId="16" applyNumberFormat="1" applyFont="1" applyFill="1" applyAlignment="1" applyProtection="1">
      <alignment vertical="center" wrapText="1"/>
      <protection locked="0"/>
    </xf>
    <xf numFmtId="0" fontId="8" fillId="0" borderId="0" xfId="16" applyFont="1" applyAlignment="1">
      <alignment horizontal="center" vertical="center" wrapText="1"/>
    </xf>
    <xf numFmtId="10" fontId="27" fillId="7" borderId="11" xfId="5" applyNumberFormat="1" applyFont="1" applyFill="1" applyBorder="1" applyAlignment="1" applyProtection="1">
      <alignment horizontal="center" vertical="center" wrapText="1"/>
    </xf>
    <xf numFmtId="10" fontId="27" fillId="7" borderId="13" xfId="5" applyNumberFormat="1" applyFont="1" applyFill="1" applyBorder="1" applyAlignment="1" applyProtection="1">
      <alignment horizontal="center" vertical="center" wrapText="1"/>
    </xf>
    <xf numFmtId="10" fontId="27" fillId="7" borderId="7" xfId="5" applyNumberFormat="1" applyFont="1" applyFill="1" applyBorder="1" applyAlignment="1" applyProtection="1">
      <alignment horizontal="center" vertical="center" wrapText="1"/>
    </xf>
    <xf numFmtId="10" fontId="27" fillId="7" borderId="8" xfId="5" applyNumberFormat="1" applyFont="1" applyFill="1" applyBorder="1" applyAlignment="1" applyProtection="1">
      <alignment horizontal="center" vertical="center" wrapText="1"/>
    </xf>
    <xf numFmtId="0" fontId="8" fillId="0" borderId="0" xfId="17" applyFont="1" applyAlignment="1">
      <alignment horizontal="center" wrapText="1"/>
    </xf>
    <xf numFmtId="0" fontId="9" fillId="0" borderId="0" xfId="6" applyFont="1" applyFill="1" applyBorder="1" applyAlignment="1">
      <alignment horizontal="center" vertical="center"/>
    </xf>
    <xf numFmtId="0" fontId="5" fillId="0" borderId="0" xfId="6" applyFont="1" applyBorder="1" applyAlignment="1">
      <alignment horizontal="left"/>
    </xf>
  </cellXfs>
  <cellStyles count="20">
    <cellStyle name="Excel Built-in Normal" xfId="11" xr:uid="{00000000-0005-0000-0000-000000000000}"/>
    <cellStyle name="Moeda" xfId="19" builtinId="4"/>
    <cellStyle name="Normal" xfId="0" builtinId="0"/>
    <cellStyle name="Normal 2" xfId="4" xr:uid="{00000000-0005-0000-0000-000002000000}"/>
    <cellStyle name="Normal 2 2" xfId="9" xr:uid="{00000000-0005-0000-0000-000003000000}"/>
    <cellStyle name="Normal 2 2 2" xfId="17" xr:uid="{5C6B1EA4-F90F-4498-8822-B8432A94BB71}"/>
    <cellStyle name="Normal 3" xfId="6" xr:uid="{00000000-0005-0000-0000-000004000000}"/>
    <cellStyle name="Normal 3 2" xfId="12" xr:uid="{00000000-0005-0000-0000-000005000000}"/>
    <cellStyle name="Normal 4" xfId="8" xr:uid="{00000000-0005-0000-0000-000006000000}"/>
    <cellStyle name="Normal 4 3" xfId="16" xr:uid="{EE140433-BD4D-4A94-86F1-63C2B5F268DA}"/>
    <cellStyle name="Porcentagem" xfId="1" builtinId="5"/>
    <cellStyle name="Porcentagem 2" xfId="3" xr:uid="{00000000-0005-0000-0000-000008000000}"/>
    <cellStyle name="Porcentagem 2 2" xfId="10" xr:uid="{00000000-0005-0000-0000-000009000000}"/>
    <cellStyle name="Porcentagem 2 2 2" xfId="18" xr:uid="{79C745C8-9BD0-4587-894C-183AFDEB0F4F}"/>
    <cellStyle name="Porcentagem 3" xfId="5" xr:uid="{00000000-0005-0000-0000-00000A000000}"/>
    <cellStyle name="Porcentagem 4" xfId="13" xr:uid="{00000000-0005-0000-0000-00000B000000}"/>
    <cellStyle name="TableStyleLight1" xfId="7" xr:uid="{00000000-0005-0000-0000-00000C000000}"/>
    <cellStyle name="Vírgula" xfId="2" builtinId="3"/>
    <cellStyle name="Vírgula 2" xfId="14" xr:uid="{00000000-0005-0000-0000-00000E000000}"/>
    <cellStyle name="Vírgula 2 2" xfId="15" xr:uid="{00000000-0005-0000-0000-00000F000000}"/>
  </cellStyles>
  <dxfs count="1">
    <dxf>
      <font>
        <condense val="0"/>
        <extend val="0"/>
        <color indexed="1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466725</xdr:colOff>
      <xdr:row>0</xdr:row>
      <xdr:rowOff>38100</xdr:rowOff>
    </xdr:from>
    <xdr:to>
      <xdr:col>1</xdr:col>
      <xdr:colOff>753364</xdr:colOff>
      <xdr:row>1</xdr:row>
      <xdr:rowOff>285750</xdr:rowOff>
    </xdr:to>
    <xdr:pic>
      <xdr:nvPicPr>
        <xdr:cNvPr id="4" name="Imagem 3">
          <a:extLst>
            <a:ext uri="{FF2B5EF4-FFF2-40B4-BE49-F238E27FC236}">
              <a16:creationId xmlns:a16="http://schemas.microsoft.com/office/drawing/2014/main" id="{BD743134-F765-4AA1-8BEE-B899691F4C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6725" y="38100"/>
          <a:ext cx="781939" cy="7524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35718</xdr:rowOff>
    </xdr:from>
    <xdr:to>
      <xdr:col>1</xdr:col>
      <xdr:colOff>1083468</xdr:colOff>
      <xdr:row>1</xdr:row>
      <xdr:rowOff>352734</xdr:rowOff>
    </xdr:to>
    <xdr:pic>
      <xdr:nvPicPr>
        <xdr:cNvPr id="4" name="Imagem 3">
          <a:extLst>
            <a:ext uri="{FF2B5EF4-FFF2-40B4-BE49-F238E27FC236}">
              <a16:creationId xmlns:a16="http://schemas.microsoft.com/office/drawing/2014/main" id="{0A34B5D6-8F09-4A5B-A98A-8A3863DDF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3438" y="35718"/>
          <a:ext cx="750093" cy="72182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400050</xdr:colOff>
      <xdr:row>0</xdr:row>
      <xdr:rowOff>38100</xdr:rowOff>
    </xdr:from>
    <xdr:to>
      <xdr:col>1</xdr:col>
      <xdr:colOff>394225</xdr:colOff>
      <xdr:row>1</xdr:row>
      <xdr:rowOff>228600</xdr:rowOff>
    </xdr:to>
    <xdr:pic>
      <xdr:nvPicPr>
        <xdr:cNvPr id="3" name="Imagem 2">
          <a:extLst>
            <a:ext uri="{FF2B5EF4-FFF2-40B4-BE49-F238E27FC236}">
              <a16:creationId xmlns:a16="http://schemas.microsoft.com/office/drawing/2014/main" id="{3D16CA64-40CA-4963-92FA-E99F07FC0D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38100"/>
          <a:ext cx="603775" cy="581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190500</xdr:colOff>
      <xdr:row>0</xdr:row>
      <xdr:rowOff>47626</xdr:rowOff>
    </xdr:from>
    <xdr:to>
      <xdr:col>1</xdr:col>
      <xdr:colOff>238125</xdr:colOff>
      <xdr:row>2</xdr:row>
      <xdr:rowOff>146686</xdr:rowOff>
    </xdr:to>
    <xdr:pic>
      <xdr:nvPicPr>
        <xdr:cNvPr id="2" name="Imagem 1">
          <a:extLst>
            <a:ext uri="{FF2B5EF4-FFF2-40B4-BE49-F238E27FC236}">
              <a16:creationId xmlns:a16="http://schemas.microsoft.com/office/drawing/2014/main" id="{0A605FF0-E407-484E-939B-C9F596BB77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47626"/>
          <a:ext cx="657225" cy="63246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190500</xdr:colOff>
      <xdr:row>0</xdr:row>
      <xdr:rowOff>47626</xdr:rowOff>
    </xdr:from>
    <xdr:to>
      <xdr:col>1</xdr:col>
      <xdr:colOff>238125</xdr:colOff>
      <xdr:row>2</xdr:row>
      <xdr:rowOff>146686</xdr:rowOff>
    </xdr:to>
    <xdr:pic>
      <xdr:nvPicPr>
        <xdr:cNvPr id="3" name="Imagem 2">
          <a:extLst>
            <a:ext uri="{FF2B5EF4-FFF2-40B4-BE49-F238E27FC236}">
              <a16:creationId xmlns:a16="http://schemas.microsoft.com/office/drawing/2014/main" id="{F6AAB95D-CA3E-4B49-8D4A-08E37CFF53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47626"/>
          <a:ext cx="657225" cy="63246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514350</xdr:colOff>
      <xdr:row>0</xdr:row>
      <xdr:rowOff>57150</xdr:rowOff>
    </xdr:from>
    <xdr:to>
      <xdr:col>1</xdr:col>
      <xdr:colOff>190500</xdr:colOff>
      <xdr:row>1</xdr:row>
      <xdr:rowOff>123825</xdr:rowOff>
    </xdr:to>
    <xdr:pic>
      <xdr:nvPicPr>
        <xdr:cNvPr id="2" name="Imagem 1">
          <a:extLst>
            <a:ext uri="{FF2B5EF4-FFF2-40B4-BE49-F238E27FC236}">
              <a16:creationId xmlns:a16="http://schemas.microsoft.com/office/drawing/2014/main" id="{2BF24428-EBDB-4596-8C8A-0B5E61E0F9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4350" y="57150"/>
          <a:ext cx="4857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152400</xdr:colOff>
      <xdr:row>0</xdr:row>
      <xdr:rowOff>57150</xdr:rowOff>
    </xdr:from>
    <xdr:to>
      <xdr:col>1</xdr:col>
      <xdr:colOff>324739</xdr:colOff>
      <xdr:row>2</xdr:row>
      <xdr:rowOff>85725</xdr:rowOff>
    </xdr:to>
    <xdr:pic>
      <xdr:nvPicPr>
        <xdr:cNvPr id="3" name="Imagem 2">
          <a:extLst>
            <a:ext uri="{FF2B5EF4-FFF2-40B4-BE49-F238E27FC236}">
              <a16:creationId xmlns:a16="http://schemas.microsoft.com/office/drawing/2014/main" id="{2AA23C82-2BB6-4EEF-AD12-E8F7A1BA3B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0" y="57150"/>
          <a:ext cx="781939" cy="7524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taInfo/Downloads/Modelo%20de%20Detalhamento%20do%20%20BDI%20V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hamento do BDI"/>
      <sheetName val="Auxiliar"/>
    </sheetNames>
    <sheetDataSet>
      <sheetData sheetId="0"/>
      <sheetData sheetId="1">
        <row r="17">
          <cell r="A17" t="str">
            <v>Atende</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0"/>
  <sheetViews>
    <sheetView view="pageBreakPreview" topLeftCell="A55" zoomScaleNormal="100" zoomScaleSheetLayoutView="100" workbookViewId="0">
      <selection activeCell="P73" sqref="P73"/>
    </sheetView>
  </sheetViews>
  <sheetFormatPr defaultRowHeight="12.75" x14ac:dyDescent="0.2"/>
  <cols>
    <col min="1" max="1" width="7.42578125" customWidth="1"/>
    <col min="2" max="2" width="12" customWidth="1"/>
    <col min="9" max="9" width="30.28515625" customWidth="1"/>
    <col min="10" max="10" width="8" customWidth="1"/>
    <col min="11" max="11" width="9.5703125" customWidth="1"/>
    <col min="12" max="12" width="10.28515625" customWidth="1"/>
    <col min="13" max="13" width="12.5703125" customWidth="1"/>
    <col min="14" max="14" width="12.42578125" bestFit="1" customWidth="1"/>
    <col min="15" max="15" width="11.28515625" bestFit="1" customWidth="1"/>
    <col min="16" max="16" width="10.42578125" bestFit="1" customWidth="1"/>
    <col min="17" max="17" width="9.42578125" bestFit="1" customWidth="1"/>
  </cols>
  <sheetData>
    <row r="1" spans="1:18" ht="39.75" customHeight="1" x14ac:dyDescent="0.4">
      <c r="A1" s="295" t="s">
        <v>65</v>
      </c>
      <c r="B1" s="296"/>
      <c r="C1" s="296"/>
      <c r="D1" s="296"/>
      <c r="E1" s="296"/>
      <c r="F1" s="296"/>
      <c r="G1" s="296"/>
      <c r="H1" s="296"/>
      <c r="I1" s="296"/>
      <c r="J1" s="296"/>
      <c r="K1" s="296"/>
      <c r="L1" s="296"/>
      <c r="M1" s="297"/>
    </row>
    <row r="2" spans="1:18" ht="29.25" customHeight="1" x14ac:dyDescent="0.35">
      <c r="A2" s="298" t="s">
        <v>66</v>
      </c>
      <c r="B2" s="299"/>
      <c r="C2" s="299"/>
      <c r="D2" s="299"/>
      <c r="E2" s="299"/>
      <c r="F2" s="299"/>
      <c r="G2" s="299"/>
      <c r="H2" s="299"/>
      <c r="I2" s="299"/>
      <c r="J2" s="299"/>
      <c r="K2" s="299"/>
      <c r="L2" s="299"/>
      <c r="M2" s="300"/>
    </row>
    <row r="3" spans="1:18" s="3" customFormat="1" ht="27.75" customHeight="1" x14ac:dyDescent="0.2">
      <c r="A3" s="125" t="s">
        <v>2</v>
      </c>
      <c r="B3" s="307" t="s">
        <v>179</v>
      </c>
      <c r="C3" s="307"/>
      <c r="D3" s="307"/>
      <c r="E3" s="307"/>
      <c r="F3" s="307"/>
      <c r="G3" s="307"/>
      <c r="H3" s="307"/>
      <c r="I3" s="307"/>
      <c r="J3" s="307"/>
      <c r="K3" s="307"/>
      <c r="L3" s="308" t="s">
        <v>367</v>
      </c>
      <c r="M3" s="308"/>
    </row>
    <row r="4" spans="1:18" s="4" customFormat="1" ht="24" customHeight="1" x14ac:dyDescent="0.2">
      <c r="A4" s="40" t="s">
        <v>3</v>
      </c>
      <c r="B4" s="309" t="s">
        <v>180</v>
      </c>
      <c r="C4" s="310"/>
      <c r="D4" s="310"/>
      <c r="E4" s="310"/>
      <c r="F4" s="310"/>
      <c r="G4" s="310"/>
      <c r="H4" s="310"/>
      <c r="I4" s="310"/>
      <c r="J4" s="310"/>
      <c r="K4" s="310"/>
      <c r="L4" s="311" t="s">
        <v>307</v>
      </c>
      <c r="M4" s="311"/>
    </row>
    <row r="5" spans="1:18" s="4" customFormat="1" ht="14.25" customHeight="1" x14ac:dyDescent="0.2">
      <c r="A5" s="301" t="s">
        <v>0</v>
      </c>
      <c r="B5" s="303" t="s">
        <v>84</v>
      </c>
      <c r="C5" s="301" t="s">
        <v>1</v>
      </c>
      <c r="D5" s="301"/>
      <c r="E5" s="301"/>
      <c r="F5" s="301"/>
      <c r="G5" s="301"/>
      <c r="H5" s="301"/>
      <c r="I5" s="301"/>
      <c r="J5" s="305" t="s">
        <v>4</v>
      </c>
      <c r="K5" s="301" t="s">
        <v>5</v>
      </c>
      <c r="L5" s="306" t="s">
        <v>6</v>
      </c>
      <c r="M5" s="306"/>
    </row>
    <row r="6" spans="1:18" s="4" customFormat="1" ht="15" customHeight="1" x14ac:dyDescent="0.2">
      <c r="A6" s="302"/>
      <c r="B6" s="304"/>
      <c r="C6" s="302"/>
      <c r="D6" s="302"/>
      <c r="E6" s="302"/>
      <c r="F6" s="302"/>
      <c r="G6" s="302"/>
      <c r="H6" s="302"/>
      <c r="I6" s="302"/>
      <c r="J6" s="303"/>
      <c r="K6" s="302"/>
      <c r="L6" s="150" t="s">
        <v>7</v>
      </c>
      <c r="M6" s="150" t="s">
        <v>8</v>
      </c>
    </row>
    <row r="7" spans="1:18" s="4" customFormat="1" ht="15" customHeight="1" x14ac:dyDescent="0.2">
      <c r="A7" s="200"/>
      <c r="B7" s="202"/>
      <c r="C7" s="315" t="s">
        <v>181</v>
      </c>
      <c r="D7" s="316"/>
      <c r="E7" s="316"/>
      <c r="F7" s="316"/>
      <c r="G7" s="316"/>
      <c r="H7" s="316"/>
      <c r="I7" s="317"/>
      <c r="J7" s="201"/>
      <c r="K7" s="200"/>
      <c r="L7" s="150"/>
      <c r="M7" s="150"/>
    </row>
    <row r="8" spans="1:18" s="4" customFormat="1" ht="12.75" customHeight="1" x14ac:dyDescent="0.2">
      <c r="A8" s="204">
        <v>1</v>
      </c>
      <c r="B8" s="204"/>
      <c r="C8" s="318" t="s">
        <v>11</v>
      </c>
      <c r="D8" s="318"/>
      <c r="E8" s="318"/>
      <c r="F8" s="318"/>
      <c r="G8" s="318"/>
      <c r="H8" s="318"/>
      <c r="I8" s="318"/>
      <c r="J8" s="203"/>
      <c r="K8" s="5"/>
      <c r="L8" s="6"/>
      <c r="M8" s="151"/>
    </row>
    <row r="9" spans="1:18" s="4" customFormat="1" ht="24" customHeight="1" x14ac:dyDescent="0.2">
      <c r="A9" s="122" t="s">
        <v>9</v>
      </c>
      <c r="B9" s="206" t="s">
        <v>227</v>
      </c>
      <c r="C9" s="319" t="s">
        <v>25</v>
      </c>
      <c r="D9" s="319"/>
      <c r="E9" s="319"/>
      <c r="F9" s="319"/>
      <c r="G9" s="319"/>
      <c r="H9" s="319"/>
      <c r="I9" s="319"/>
      <c r="J9" s="7" t="s">
        <v>10</v>
      </c>
      <c r="K9" s="139">
        <v>8</v>
      </c>
      <c r="L9" s="139">
        <f>Q9</f>
        <v>377.97</v>
      </c>
      <c r="M9" s="152">
        <f>ROUND(L9*K9,2)</f>
        <v>3023.76</v>
      </c>
      <c r="N9" s="4">
        <v>286.43</v>
      </c>
      <c r="O9" s="167">
        <v>0.3196</v>
      </c>
      <c r="P9" s="168">
        <f>O9*N9</f>
        <v>91.543028000000007</v>
      </c>
      <c r="Q9" s="168">
        <f>ROUND(P9+N9,2)</f>
        <v>377.97</v>
      </c>
    </row>
    <row r="10" spans="1:18" s="4" customFormat="1" ht="27.75" customHeight="1" x14ac:dyDescent="0.2">
      <c r="A10" s="198" t="s">
        <v>56</v>
      </c>
      <c r="B10" s="263" t="s">
        <v>228</v>
      </c>
      <c r="C10" s="274" t="s">
        <v>93</v>
      </c>
      <c r="D10" s="275"/>
      <c r="E10" s="275"/>
      <c r="F10" s="275"/>
      <c r="G10" s="275"/>
      <c r="H10" s="275"/>
      <c r="I10" s="276"/>
      <c r="J10" s="7" t="s">
        <v>23</v>
      </c>
      <c r="K10" s="139">
        <v>5</v>
      </c>
      <c r="L10" s="139">
        <f>Q10</f>
        <v>805.99</v>
      </c>
      <c r="M10" s="152">
        <f>ROUND(L10*K10,2)</f>
        <v>4029.95</v>
      </c>
      <c r="N10" s="4">
        <v>610.78</v>
      </c>
      <c r="O10" s="167">
        <v>0.3196</v>
      </c>
      <c r="P10" s="168">
        <f t="shared" ref="P10" si="0">O10*N10</f>
        <v>195.205288</v>
      </c>
      <c r="Q10" s="168">
        <f t="shared" ref="Q10:Q62" si="1">ROUND(P10+N10,2)</f>
        <v>805.99</v>
      </c>
    </row>
    <row r="11" spans="1:18" s="4" customFormat="1" ht="12.75" customHeight="1" x14ac:dyDescent="0.2">
      <c r="A11" s="122"/>
      <c r="B11" s="90"/>
      <c r="C11" s="279" t="s">
        <v>12</v>
      </c>
      <c r="D11" s="280"/>
      <c r="E11" s="280"/>
      <c r="F11" s="280"/>
      <c r="G11" s="280"/>
      <c r="H11" s="280"/>
      <c r="I11" s="281"/>
      <c r="J11" s="7"/>
      <c r="K11" s="8"/>
      <c r="L11" s="207"/>
      <c r="M11" s="144">
        <f>SUM(M9:M10)</f>
        <v>7053.71</v>
      </c>
      <c r="O11" s="167"/>
      <c r="Q11" s="168"/>
    </row>
    <row r="12" spans="1:18" s="4" customFormat="1" ht="12.75" customHeight="1" x14ac:dyDescent="0.2">
      <c r="A12" s="123">
        <v>2</v>
      </c>
      <c r="B12" s="90"/>
      <c r="C12" s="285" t="s">
        <v>94</v>
      </c>
      <c r="D12" s="286"/>
      <c r="E12" s="286"/>
      <c r="F12" s="286"/>
      <c r="G12" s="286"/>
      <c r="H12" s="286"/>
      <c r="I12" s="287"/>
      <c r="J12" s="7"/>
      <c r="K12" s="8"/>
      <c r="L12" s="207"/>
      <c r="M12" s="144"/>
      <c r="O12" s="167"/>
      <c r="Q12" s="168"/>
    </row>
    <row r="13" spans="1:18" s="4" customFormat="1" ht="24" customHeight="1" x14ac:dyDescent="0.2">
      <c r="A13" s="184" t="s">
        <v>13</v>
      </c>
      <c r="B13" s="263" t="s">
        <v>309</v>
      </c>
      <c r="C13" s="274" t="s">
        <v>308</v>
      </c>
      <c r="D13" s="275"/>
      <c r="E13" s="275"/>
      <c r="F13" s="275"/>
      <c r="G13" s="275"/>
      <c r="H13" s="275"/>
      <c r="I13" s="276"/>
      <c r="J13" s="7" t="s">
        <v>23</v>
      </c>
      <c r="K13" s="205">
        <f>'Memorial de Cálculo'!E12</f>
        <v>52.42</v>
      </c>
      <c r="L13" s="139">
        <f>Q13</f>
        <v>67.930000000000007</v>
      </c>
      <c r="M13" s="152">
        <f>ROUND(L13*K13,2)</f>
        <v>3560.89</v>
      </c>
      <c r="N13" s="4">
        <v>51.48</v>
      </c>
      <c r="O13" s="167">
        <v>0.3196</v>
      </c>
      <c r="P13" s="168">
        <f t="shared" ref="P13" si="2">O13*N13</f>
        <v>16.453008000000001</v>
      </c>
      <c r="Q13" s="168">
        <f t="shared" si="1"/>
        <v>67.930000000000007</v>
      </c>
      <c r="R13" s="4">
        <f>8.3+9.13+8.3+9.13</f>
        <v>34.86</v>
      </c>
    </row>
    <row r="14" spans="1:18" s="4" customFormat="1" ht="12.75" customHeight="1" x14ac:dyDescent="0.2">
      <c r="A14" s="122"/>
      <c r="B14" s="90"/>
      <c r="C14" s="279" t="s">
        <v>12</v>
      </c>
      <c r="D14" s="280"/>
      <c r="E14" s="280"/>
      <c r="F14" s="280"/>
      <c r="G14" s="280"/>
      <c r="H14" s="280"/>
      <c r="I14" s="281"/>
      <c r="J14" s="7"/>
      <c r="K14" s="7"/>
      <c r="L14" s="7"/>
      <c r="M14" s="144">
        <f>SUM(M13:M13)</f>
        <v>3560.89</v>
      </c>
      <c r="O14" s="167">
        <v>0.3196</v>
      </c>
      <c r="P14" s="168"/>
      <c r="Q14" s="168"/>
    </row>
    <row r="15" spans="1:18" s="4" customFormat="1" ht="12.75" customHeight="1" x14ac:dyDescent="0.2">
      <c r="A15" s="9">
        <v>3</v>
      </c>
      <c r="B15" s="91"/>
      <c r="C15" s="289" t="s">
        <v>267</v>
      </c>
      <c r="D15" s="289"/>
      <c r="E15" s="289"/>
      <c r="F15" s="289"/>
      <c r="G15" s="289"/>
      <c r="H15" s="289"/>
      <c r="I15" s="289"/>
      <c r="J15" s="11"/>
      <c r="K15" s="7"/>
      <c r="L15" s="7"/>
      <c r="M15" s="145"/>
      <c r="O15" s="167">
        <v>0.3196</v>
      </c>
      <c r="P15" s="168"/>
      <c r="Q15" s="168"/>
    </row>
    <row r="16" spans="1:18" s="4" customFormat="1" ht="26.25" customHeight="1" x14ac:dyDescent="0.2">
      <c r="A16" s="10" t="s">
        <v>15</v>
      </c>
      <c r="B16" s="206" t="s">
        <v>346</v>
      </c>
      <c r="C16" s="274" t="s">
        <v>345</v>
      </c>
      <c r="D16" s="275"/>
      <c r="E16" s="275"/>
      <c r="F16" s="275"/>
      <c r="G16" s="275"/>
      <c r="H16" s="275"/>
      <c r="I16" s="276"/>
      <c r="J16" s="11" t="s">
        <v>14</v>
      </c>
      <c r="K16" s="7">
        <f>'Memorial de Cálculo'!E15</f>
        <v>50.6</v>
      </c>
      <c r="L16" s="7">
        <f>Q16</f>
        <v>543.58000000000004</v>
      </c>
      <c r="M16" s="145">
        <f>ROUND(L16*K16,2)</f>
        <v>27505.15</v>
      </c>
      <c r="N16" s="4">
        <v>411.93</v>
      </c>
      <c r="O16" s="167">
        <v>0.3196</v>
      </c>
      <c r="P16" s="168">
        <f t="shared" ref="P16:P62" si="3">O16*N16</f>
        <v>131.652828</v>
      </c>
      <c r="Q16" s="168">
        <f t="shared" si="1"/>
        <v>543.58000000000004</v>
      </c>
    </row>
    <row r="17" spans="1:23" s="4" customFormat="1" ht="26.25" customHeight="1" x14ac:dyDescent="0.2">
      <c r="A17" s="10" t="s">
        <v>16</v>
      </c>
      <c r="B17" s="206" t="s">
        <v>311</v>
      </c>
      <c r="C17" s="274" t="s">
        <v>310</v>
      </c>
      <c r="D17" s="275"/>
      <c r="E17" s="275"/>
      <c r="F17" s="275"/>
      <c r="G17" s="275"/>
      <c r="H17" s="275"/>
      <c r="I17" s="276"/>
      <c r="J17" s="11" t="s">
        <v>14</v>
      </c>
      <c r="K17" s="7">
        <f>'Memorial de Cálculo'!E16</f>
        <v>128.81</v>
      </c>
      <c r="L17" s="7">
        <f t="shared" ref="L17:L24" si="4">Q17</f>
        <v>81.75</v>
      </c>
      <c r="M17" s="145">
        <f t="shared" ref="M17:M40" si="5">ROUND(L17*K17,2)</f>
        <v>10530.22</v>
      </c>
      <c r="N17" s="4">
        <v>61.95</v>
      </c>
      <c r="O17" s="167">
        <v>0.3196</v>
      </c>
      <c r="P17" s="168">
        <f t="shared" si="3"/>
        <v>19.799220000000002</v>
      </c>
      <c r="Q17" s="168">
        <f t="shared" si="1"/>
        <v>81.75</v>
      </c>
      <c r="R17" s="4">
        <f>3.65*2.45*8.3</f>
        <v>74.222750000000019</v>
      </c>
      <c r="S17" s="4">
        <f>1.7*3.75*6.3</f>
        <v>40.162500000000001</v>
      </c>
      <c r="T17" s="4">
        <f>R17+S17</f>
        <v>114.38525000000001</v>
      </c>
    </row>
    <row r="18" spans="1:23" s="4" customFormat="1" ht="24.75" customHeight="1" x14ac:dyDescent="0.2">
      <c r="A18" s="10" t="s">
        <v>17</v>
      </c>
      <c r="B18" s="206" t="s">
        <v>348</v>
      </c>
      <c r="C18" s="274" t="s">
        <v>347</v>
      </c>
      <c r="D18" s="275"/>
      <c r="E18" s="275"/>
      <c r="F18" s="275"/>
      <c r="G18" s="275"/>
      <c r="H18" s="275"/>
      <c r="I18" s="276"/>
      <c r="J18" s="7" t="s">
        <v>14</v>
      </c>
      <c r="K18" s="7">
        <f>'Memorial de Cálculo'!E17</f>
        <v>2.1</v>
      </c>
      <c r="L18" s="7">
        <f t="shared" si="4"/>
        <v>387.09</v>
      </c>
      <c r="M18" s="145">
        <f t="shared" si="5"/>
        <v>812.89</v>
      </c>
      <c r="N18" s="4">
        <v>293.33999999999997</v>
      </c>
      <c r="O18" s="167">
        <v>0.3196</v>
      </c>
      <c r="P18" s="168">
        <f t="shared" si="3"/>
        <v>93.751463999999984</v>
      </c>
      <c r="Q18" s="168">
        <f t="shared" si="1"/>
        <v>387.09</v>
      </c>
    </row>
    <row r="19" spans="1:23" s="4" customFormat="1" ht="24.75" customHeight="1" x14ac:dyDescent="0.2">
      <c r="A19" s="10" t="s">
        <v>96</v>
      </c>
      <c r="B19" s="206" t="s">
        <v>353</v>
      </c>
      <c r="C19" s="274" t="s">
        <v>352</v>
      </c>
      <c r="D19" s="275"/>
      <c r="E19" s="275"/>
      <c r="F19" s="275"/>
      <c r="G19" s="275"/>
      <c r="H19" s="275"/>
      <c r="I19" s="276"/>
      <c r="J19" s="7" t="s">
        <v>186</v>
      </c>
      <c r="K19" s="7">
        <f>'Memorial de Cálculo'!E18</f>
        <v>202</v>
      </c>
      <c r="L19" s="7">
        <f t="shared" si="4"/>
        <v>24.27</v>
      </c>
      <c r="M19" s="145">
        <f t="shared" si="5"/>
        <v>4902.54</v>
      </c>
      <c r="N19" s="4">
        <v>18.39</v>
      </c>
      <c r="O19" s="167">
        <v>0.3196</v>
      </c>
      <c r="P19" s="168">
        <f t="shared" si="3"/>
        <v>5.8774439999999997</v>
      </c>
      <c r="Q19" s="168">
        <f t="shared" si="1"/>
        <v>24.27</v>
      </c>
    </row>
    <row r="20" spans="1:23" s="4" customFormat="1" ht="24.75" customHeight="1" x14ac:dyDescent="0.2">
      <c r="A20" s="10" t="s">
        <v>97</v>
      </c>
      <c r="B20" s="206" t="s">
        <v>355</v>
      </c>
      <c r="C20" s="274" t="s">
        <v>354</v>
      </c>
      <c r="D20" s="275"/>
      <c r="E20" s="275"/>
      <c r="F20" s="275"/>
      <c r="G20" s="275"/>
      <c r="H20" s="275"/>
      <c r="I20" s="276"/>
      <c r="J20" s="7" t="s">
        <v>186</v>
      </c>
      <c r="K20" s="7">
        <f>'Memorial de Cálculo'!E19</f>
        <v>1468</v>
      </c>
      <c r="L20" s="7">
        <f t="shared" si="4"/>
        <v>23.24</v>
      </c>
      <c r="M20" s="145">
        <f t="shared" si="5"/>
        <v>34116.32</v>
      </c>
      <c r="N20" s="4">
        <v>17.61</v>
      </c>
      <c r="O20" s="167">
        <v>0.3196</v>
      </c>
      <c r="P20" s="168">
        <f t="shared" si="3"/>
        <v>5.6281559999999997</v>
      </c>
      <c r="Q20" s="168">
        <f t="shared" si="1"/>
        <v>23.24</v>
      </c>
    </row>
    <row r="21" spans="1:23" s="4" customFormat="1" ht="24.75" customHeight="1" x14ac:dyDescent="0.2">
      <c r="A21" s="10" t="s">
        <v>98</v>
      </c>
      <c r="B21" s="206" t="s">
        <v>357</v>
      </c>
      <c r="C21" s="274" t="s">
        <v>356</v>
      </c>
      <c r="D21" s="275"/>
      <c r="E21" s="275"/>
      <c r="F21" s="275"/>
      <c r="G21" s="275"/>
      <c r="H21" s="275"/>
      <c r="I21" s="276"/>
      <c r="J21" s="7" t="s">
        <v>186</v>
      </c>
      <c r="K21" s="7">
        <f>'Memorial de Cálculo'!E20</f>
        <v>2201</v>
      </c>
      <c r="L21" s="7">
        <f t="shared" si="4"/>
        <v>21.05</v>
      </c>
      <c r="M21" s="145">
        <f t="shared" si="5"/>
        <v>46331.05</v>
      </c>
      <c r="N21" s="4">
        <v>15.95</v>
      </c>
      <c r="O21" s="167">
        <v>0.3196</v>
      </c>
      <c r="P21" s="168">
        <f t="shared" ref="P21" si="6">O21*N21</f>
        <v>5.09762</v>
      </c>
      <c r="Q21" s="168">
        <f t="shared" si="1"/>
        <v>21.05</v>
      </c>
      <c r="R21" s="4">
        <f>120*40</f>
        <v>4800</v>
      </c>
    </row>
    <row r="22" spans="1:23" s="4" customFormat="1" ht="30" customHeight="1" x14ac:dyDescent="0.2">
      <c r="A22" s="10" t="s">
        <v>99</v>
      </c>
      <c r="B22" s="206" t="s">
        <v>229</v>
      </c>
      <c r="C22" s="274" t="s">
        <v>183</v>
      </c>
      <c r="D22" s="275"/>
      <c r="E22" s="275"/>
      <c r="F22" s="275"/>
      <c r="G22" s="275"/>
      <c r="H22" s="275"/>
      <c r="I22" s="276"/>
      <c r="J22" s="7" t="s">
        <v>10</v>
      </c>
      <c r="K22" s="7">
        <f>'Memorial de Cálculo'!E21</f>
        <v>398.52</v>
      </c>
      <c r="L22" s="7">
        <f t="shared" si="4"/>
        <v>88.84</v>
      </c>
      <c r="M22" s="145">
        <f t="shared" si="5"/>
        <v>35404.519999999997</v>
      </c>
      <c r="N22" s="4">
        <v>67.319999999999993</v>
      </c>
      <c r="O22" s="167">
        <v>0.3196</v>
      </c>
      <c r="P22" s="168">
        <f t="shared" si="3"/>
        <v>21.515471999999999</v>
      </c>
      <c r="Q22" s="168">
        <f t="shared" si="1"/>
        <v>88.84</v>
      </c>
    </row>
    <row r="23" spans="1:23" s="4" customFormat="1" ht="27.75" customHeight="1" x14ac:dyDescent="0.2">
      <c r="A23" s="10" t="s">
        <v>100</v>
      </c>
      <c r="B23" s="206" t="s">
        <v>317</v>
      </c>
      <c r="C23" s="274" t="s">
        <v>316</v>
      </c>
      <c r="D23" s="275"/>
      <c r="E23" s="275"/>
      <c r="F23" s="275"/>
      <c r="G23" s="275"/>
      <c r="H23" s="275"/>
      <c r="I23" s="276"/>
      <c r="J23" s="7" t="s">
        <v>10</v>
      </c>
      <c r="K23" s="7">
        <v>424</v>
      </c>
      <c r="L23" s="7">
        <f t="shared" si="4"/>
        <v>144.34</v>
      </c>
      <c r="M23" s="145">
        <f t="shared" si="5"/>
        <v>61200.160000000003</v>
      </c>
      <c r="N23" s="4">
        <v>109.38</v>
      </c>
      <c r="O23" s="167">
        <v>0.3196</v>
      </c>
      <c r="P23" s="168">
        <f t="shared" si="3"/>
        <v>34.957847999999998</v>
      </c>
      <c r="Q23" s="168">
        <f t="shared" si="1"/>
        <v>144.34</v>
      </c>
      <c r="U23" s="4">
        <f>2.2*7</f>
        <v>15.400000000000002</v>
      </c>
    </row>
    <row r="24" spans="1:23" s="4" customFormat="1" ht="26.25" customHeight="1" x14ac:dyDescent="0.2">
      <c r="A24" s="10" t="s">
        <v>102</v>
      </c>
      <c r="B24" s="206" t="s">
        <v>263</v>
      </c>
      <c r="C24" s="274" t="s">
        <v>206</v>
      </c>
      <c r="D24" s="275"/>
      <c r="E24" s="275"/>
      <c r="F24" s="275"/>
      <c r="G24" s="275"/>
      <c r="H24" s="275"/>
      <c r="I24" s="276"/>
      <c r="J24" s="7" t="s">
        <v>14</v>
      </c>
      <c r="K24" s="7">
        <f>'Memorial de Cálculo'!E23</f>
        <v>0.57999999999999996</v>
      </c>
      <c r="L24" s="7">
        <f t="shared" si="4"/>
        <v>7864.64</v>
      </c>
      <c r="M24" s="145">
        <f t="shared" si="5"/>
        <v>4561.49</v>
      </c>
      <c r="N24" s="218">
        <v>5959.87</v>
      </c>
      <c r="O24" s="167">
        <v>0.3196</v>
      </c>
      <c r="P24" s="168">
        <f t="shared" si="3"/>
        <v>1904.7744519999999</v>
      </c>
      <c r="Q24" s="168">
        <f t="shared" si="1"/>
        <v>7864.64</v>
      </c>
    </row>
    <row r="25" spans="1:23" s="4" customFormat="1" ht="24.75" customHeight="1" x14ac:dyDescent="0.2">
      <c r="A25" s="267" t="s">
        <v>106</v>
      </c>
      <c r="B25" s="272" t="s">
        <v>252</v>
      </c>
      <c r="C25" s="274" t="s">
        <v>253</v>
      </c>
      <c r="D25" s="275"/>
      <c r="E25" s="275"/>
      <c r="F25" s="275"/>
      <c r="G25" s="275"/>
      <c r="H25" s="275"/>
      <c r="I25" s="276"/>
      <c r="J25" s="7" t="s">
        <v>22</v>
      </c>
      <c r="K25" s="7">
        <f>'Memorial de Cálculo'!E24</f>
        <v>4</v>
      </c>
      <c r="L25" s="7">
        <f>Q25</f>
        <v>4232.74</v>
      </c>
      <c r="M25" s="145">
        <f t="shared" si="5"/>
        <v>16930.96</v>
      </c>
      <c r="N25" s="273">
        <v>3207.5933333333328</v>
      </c>
      <c r="O25" s="167">
        <v>0.3196</v>
      </c>
      <c r="P25" s="168">
        <f t="shared" si="3"/>
        <v>1025.1468293333332</v>
      </c>
      <c r="Q25" s="273">
        <f t="shared" si="1"/>
        <v>4232.74</v>
      </c>
    </row>
    <row r="26" spans="1:23" s="4" customFormat="1" ht="24.75" customHeight="1" x14ac:dyDescent="0.2">
      <c r="A26" s="267" t="s">
        <v>107</v>
      </c>
      <c r="B26" s="272" t="s">
        <v>252</v>
      </c>
      <c r="C26" s="274" t="s">
        <v>254</v>
      </c>
      <c r="D26" s="275"/>
      <c r="E26" s="275"/>
      <c r="F26" s="275"/>
      <c r="G26" s="275"/>
      <c r="H26" s="275"/>
      <c r="I26" s="276"/>
      <c r="J26" s="7" t="s">
        <v>22</v>
      </c>
      <c r="K26" s="7">
        <f>'Memorial de Cálculo'!E25</f>
        <v>2</v>
      </c>
      <c r="L26" s="7">
        <f>Q26</f>
        <v>2647.5</v>
      </c>
      <c r="M26" s="145">
        <f t="shared" si="5"/>
        <v>5295</v>
      </c>
      <c r="N26" s="218">
        <v>2006.2933333333333</v>
      </c>
      <c r="O26" s="167">
        <v>0.3196</v>
      </c>
      <c r="P26" s="168">
        <f t="shared" si="3"/>
        <v>641.21134933333326</v>
      </c>
      <c r="Q26" s="273">
        <f t="shared" si="1"/>
        <v>2647.5</v>
      </c>
    </row>
    <row r="27" spans="1:23" s="4" customFormat="1" ht="24.75" customHeight="1" x14ac:dyDescent="0.2">
      <c r="A27" s="10" t="s">
        <v>187</v>
      </c>
      <c r="B27" s="206" t="s">
        <v>256</v>
      </c>
      <c r="C27" s="274" t="s">
        <v>255</v>
      </c>
      <c r="D27" s="275"/>
      <c r="E27" s="275"/>
      <c r="F27" s="275"/>
      <c r="G27" s="275"/>
      <c r="H27" s="275"/>
      <c r="I27" s="276"/>
      <c r="J27" s="11" t="s">
        <v>23</v>
      </c>
      <c r="K27" s="7">
        <f>'Memorial de Cálculo'!E26</f>
        <v>7.1</v>
      </c>
      <c r="L27" s="7">
        <f t="shared" ref="L27:L40" si="7">Q27</f>
        <v>493.03</v>
      </c>
      <c r="M27" s="145">
        <f t="shared" si="5"/>
        <v>3500.51</v>
      </c>
      <c r="N27" s="4">
        <v>373.62</v>
      </c>
      <c r="O27" s="167">
        <v>0.3196</v>
      </c>
      <c r="P27" s="168">
        <f t="shared" si="3"/>
        <v>119.408952</v>
      </c>
      <c r="Q27" s="168">
        <f t="shared" si="1"/>
        <v>493.03</v>
      </c>
      <c r="R27" s="4" t="s">
        <v>257</v>
      </c>
    </row>
    <row r="28" spans="1:23" s="4" customFormat="1" ht="24.75" customHeight="1" x14ac:dyDescent="0.2">
      <c r="A28" s="10" t="s">
        <v>188</v>
      </c>
      <c r="B28" s="206" t="s">
        <v>195</v>
      </c>
      <c r="C28" s="274" t="s">
        <v>184</v>
      </c>
      <c r="D28" s="275"/>
      <c r="E28" s="275"/>
      <c r="F28" s="275"/>
      <c r="G28" s="275"/>
      <c r="H28" s="275"/>
      <c r="I28" s="276"/>
      <c r="J28" s="7" t="s">
        <v>22</v>
      </c>
      <c r="K28" s="7">
        <v>1</v>
      </c>
      <c r="L28" s="7">
        <f t="shared" si="7"/>
        <v>1569.03</v>
      </c>
      <c r="M28" s="145">
        <f t="shared" si="5"/>
        <v>1569.03</v>
      </c>
      <c r="N28" s="218">
        <v>1189.02</v>
      </c>
      <c r="O28" s="167">
        <v>0.3196</v>
      </c>
      <c r="P28" s="168">
        <f t="shared" si="3"/>
        <v>380.01079199999998</v>
      </c>
      <c r="Q28" s="168">
        <f t="shared" si="1"/>
        <v>1569.03</v>
      </c>
    </row>
    <row r="29" spans="1:23" s="4" customFormat="1" ht="24.75" customHeight="1" x14ac:dyDescent="0.2">
      <c r="A29" s="10" t="s">
        <v>204</v>
      </c>
      <c r="B29" s="206" t="s">
        <v>363</v>
      </c>
      <c r="C29" s="274" t="s">
        <v>362</v>
      </c>
      <c r="D29" s="275"/>
      <c r="E29" s="275"/>
      <c r="F29" s="275"/>
      <c r="G29" s="275"/>
      <c r="H29" s="275"/>
      <c r="I29" s="276"/>
      <c r="J29" s="7" t="s">
        <v>10</v>
      </c>
      <c r="K29" s="7">
        <v>16.8</v>
      </c>
      <c r="L29" s="7">
        <f t="shared" si="7"/>
        <v>491.21</v>
      </c>
      <c r="M29" s="145">
        <f t="shared" si="5"/>
        <v>8252.33</v>
      </c>
      <c r="N29" s="4">
        <v>372.24</v>
      </c>
      <c r="O29" s="167">
        <v>0.3196</v>
      </c>
      <c r="P29" s="168">
        <f t="shared" si="3"/>
        <v>118.967904</v>
      </c>
      <c r="Q29" s="168">
        <f t="shared" si="1"/>
        <v>491.21</v>
      </c>
      <c r="R29" s="4">
        <f>(2.9+2.9+2.2+2.2+2.2+2.2+2.2)*1</f>
        <v>16.799999999999997</v>
      </c>
    </row>
    <row r="30" spans="1:23" s="4" customFormat="1" ht="24.75" customHeight="1" x14ac:dyDescent="0.2">
      <c r="A30" s="10" t="s">
        <v>205</v>
      </c>
      <c r="B30" s="206" t="s">
        <v>319</v>
      </c>
      <c r="C30" s="274" t="s">
        <v>318</v>
      </c>
      <c r="D30" s="275"/>
      <c r="E30" s="275"/>
      <c r="F30" s="275"/>
      <c r="G30" s="275"/>
      <c r="H30" s="275"/>
      <c r="I30" s="276"/>
      <c r="J30" s="11" t="s">
        <v>10</v>
      </c>
      <c r="K30" s="7">
        <v>139.81</v>
      </c>
      <c r="L30" s="7">
        <f t="shared" si="7"/>
        <v>30.21</v>
      </c>
      <c r="M30" s="145">
        <f t="shared" si="5"/>
        <v>4223.66</v>
      </c>
      <c r="N30" s="4">
        <v>22.89</v>
      </c>
      <c r="O30" s="167">
        <v>0.3196</v>
      </c>
      <c r="P30" s="168">
        <f t="shared" si="3"/>
        <v>7.3156439999999998</v>
      </c>
      <c r="Q30" s="168">
        <f t="shared" si="1"/>
        <v>30.21</v>
      </c>
    </row>
    <row r="31" spans="1:23" s="4" customFormat="1" ht="24.75" customHeight="1" x14ac:dyDescent="0.2">
      <c r="A31" s="10" t="s">
        <v>207</v>
      </c>
      <c r="B31" s="206" t="s">
        <v>196</v>
      </c>
      <c r="C31" s="274" t="s">
        <v>189</v>
      </c>
      <c r="D31" s="275"/>
      <c r="E31" s="275"/>
      <c r="F31" s="275"/>
      <c r="G31" s="275"/>
      <c r="H31" s="275"/>
      <c r="I31" s="276"/>
      <c r="J31" s="11" t="s">
        <v>14</v>
      </c>
      <c r="K31" s="7">
        <v>3.84</v>
      </c>
      <c r="L31" s="7">
        <f t="shared" si="7"/>
        <v>1431.37</v>
      </c>
      <c r="M31" s="145">
        <f t="shared" si="5"/>
        <v>5496.46</v>
      </c>
      <c r="N31" s="218">
        <v>1084.7</v>
      </c>
      <c r="O31" s="167">
        <v>0.3196</v>
      </c>
      <c r="P31" s="168">
        <f t="shared" si="3"/>
        <v>346.67012</v>
      </c>
      <c r="Q31" s="168">
        <f t="shared" si="1"/>
        <v>1431.37</v>
      </c>
      <c r="U31" s="4">
        <f>2.3+5.5+2.3+5.5</f>
        <v>15.6</v>
      </c>
      <c r="V31" s="4">
        <f>U31*0.12</f>
        <v>1.8719999999999999</v>
      </c>
      <c r="W31" s="4">
        <f>V31*0.08</f>
        <v>0.14976</v>
      </c>
    </row>
    <row r="32" spans="1:23" s="4" customFormat="1" ht="24.75" customHeight="1" x14ac:dyDescent="0.2">
      <c r="A32" s="10" t="s">
        <v>217</v>
      </c>
      <c r="B32" s="206" t="s">
        <v>197</v>
      </c>
      <c r="C32" s="274" t="s">
        <v>190</v>
      </c>
      <c r="D32" s="275"/>
      <c r="E32" s="275"/>
      <c r="F32" s="275"/>
      <c r="G32" s="275"/>
      <c r="H32" s="275"/>
      <c r="I32" s="276"/>
      <c r="J32" s="11" t="s">
        <v>14</v>
      </c>
      <c r="K32" s="7">
        <v>0.96</v>
      </c>
      <c r="L32" s="7">
        <f t="shared" si="7"/>
        <v>2233.96</v>
      </c>
      <c r="M32" s="145">
        <f t="shared" si="5"/>
        <v>2144.6</v>
      </c>
      <c r="N32" s="218">
        <v>1692.91</v>
      </c>
      <c r="O32" s="167">
        <v>0.3196</v>
      </c>
      <c r="P32" s="168">
        <f t="shared" si="3"/>
        <v>541.054036</v>
      </c>
      <c r="Q32" s="168">
        <f t="shared" si="1"/>
        <v>2233.96</v>
      </c>
      <c r="U32" s="4">
        <f>2.3+2.3</f>
        <v>4.5999999999999996</v>
      </c>
      <c r="V32" s="4">
        <f>U32*0.12</f>
        <v>0.55199999999999994</v>
      </c>
      <c r="W32" s="4">
        <f>V32*0.08</f>
        <v>4.4159999999999998E-2</v>
      </c>
    </row>
    <row r="33" spans="1:23" s="4" customFormat="1" ht="24" x14ac:dyDescent="0.2">
      <c r="A33" s="10" t="s">
        <v>221</v>
      </c>
      <c r="B33" s="206" t="s">
        <v>198</v>
      </c>
      <c r="C33" s="274" t="s">
        <v>191</v>
      </c>
      <c r="D33" s="275"/>
      <c r="E33" s="275"/>
      <c r="F33" s="275"/>
      <c r="G33" s="275"/>
      <c r="H33" s="275"/>
      <c r="I33" s="276"/>
      <c r="J33" s="11" t="s">
        <v>14</v>
      </c>
      <c r="K33" s="7">
        <v>0.64</v>
      </c>
      <c r="L33" s="7">
        <f t="shared" si="7"/>
        <v>2233.96</v>
      </c>
      <c r="M33" s="145">
        <f t="shared" si="5"/>
        <v>1429.73</v>
      </c>
      <c r="N33" s="218">
        <v>1692.91</v>
      </c>
      <c r="O33" s="167">
        <v>0.3196</v>
      </c>
      <c r="P33" s="168">
        <f t="shared" si="3"/>
        <v>541.054036</v>
      </c>
      <c r="Q33" s="168">
        <f t="shared" si="1"/>
        <v>2233.96</v>
      </c>
      <c r="U33" s="4">
        <f>0.75*8</f>
        <v>6</v>
      </c>
      <c r="V33" s="4">
        <f>U33*0.08</f>
        <v>0.48</v>
      </c>
      <c r="W33" s="4">
        <f>V33*0.08</f>
        <v>3.8399999999999997E-2</v>
      </c>
    </row>
    <row r="34" spans="1:23" s="4" customFormat="1" ht="24" x14ac:dyDescent="0.2">
      <c r="A34" s="10" t="s">
        <v>222</v>
      </c>
      <c r="B34" s="206" t="s">
        <v>199</v>
      </c>
      <c r="C34" s="274" t="s">
        <v>192</v>
      </c>
      <c r="D34" s="275"/>
      <c r="E34" s="275"/>
      <c r="F34" s="275"/>
      <c r="G34" s="275"/>
      <c r="H34" s="275"/>
      <c r="I34" s="276"/>
      <c r="J34" s="11" t="s">
        <v>14</v>
      </c>
      <c r="K34" s="7">
        <v>0.64</v>
      </c>
      <c r="L34" s="7">
        <f t="shared" si="7"/>
        <v>2233.96</v>
      </c>
      <c r="M34" s="145">
        <f t="shared" si="5"/>
        <v>1429.73</v>
      </c>
      <c r="N34" s="218">
        <v>1692.91</v>
      </c>
      <c r="O34" s="167">
        <v>0.3196</v>
      </c>
      <c r="P34" s="168">
        <f t="shared" si="3"/>
        <v>541.054036</v>
      </c>
      <c r="Q34" s="168">
        <f t="shared" si="1"/>
        <v>2233.96</v>
      </c>
      <c r="W34" s="4">
        <f>SUM(W31:W33)</f>
        <v>0.23232</v>
      </c>
    </row>
    <row r="35" spans="1:23" s="4" customFormat="1" ht="24" x14ac:dyDescent="0.2">
      <c r="A35" s="10" t="s">
        <v>236</v>
      </c>
      <c r="B35" s="206" t="s">
        <v>200</v>
      </c>
      <c r="C35" s="274" t="s">
        <v>193</v>
      </c>
      <c r="D35" s="275"/>
      <c r="E35" s="275"/>
      <c r="F35" s="275"/>
      <c r="G35" s="275"/>
      <c r="H35" s="275"/>
      <c r="I35" s="276"/>
      <c r="J35" s="11" t="s">
        <v>14</v>
      </c>
      <c r="K35" s="7">
        <v>0.96</v>
      </c>
      <c r="L35" s="7">
        <f t="shared" si="7"/>
        <v>2233.96</v>
      </c>
      <c r="M35" s="145">
        <f t="shared" si="5"/>
        <v>2144.6</v>
      </c>
      <c r="N35" s="218">
        <v>1692.91</v>
      </c>
      <c r="O35" s="167">
        <v>0.3196</v>
      </c>
      <c r="P35" s="168">
        <f t="shared" si="3"/>
        <v>541.054036</v>
      </c>
      <c r="Q35" s="168">
        <f t="shared" si="1"/>
        <v>2233.96</v>
      </c>
    </row>
    <row r="36" spans="1:23" s="4" customFormat="1" ht="24" x14ac:dyDescent="0.2">
      <c r="A36" s="10" t="s">
        <v>238</v>
      </c>
      <c r="B36" s="206" t="s">
        <v>321</v>
      </c>
      <c r="C36" s="274" t="s">
        <v>320</v>
      </c>
      <c r="D36" s="275"/>
      <c r="E36" s="275"/>
      <c r="F36" s="275"/>
      <c r="G36" s="275"/>
      <c r="H36" s="275"/>
      <c r="I36" s="276"/>
      <c r="J36" s="11" t="s">
        <v>23</v>
      </c>
      <c r="K36" s="7">
        <v>52.8</v>
      </c>
      <c r="L36" s="7">
        <f t="shared" si="7"/>
        <v>20.85</v>
      </c>
      <c r="M36" s="145">
        <f t="shared" si="5"/>
        <v>1100.8800000000001</v>
      </c>
      <c r="N36" s="168">
        <v>15.8</v>
      </c>
      <c r="O36" s="167">
        <v>0.3196</v>
      </c>
      <c r="P36" s="168">
        <f t="shared" si="3"/>
        <v>5.0496800000000004</v>
      </c>
      <c r="Q36" s="168">
        <f t="shared" si="1"/>
        <v>20.85</v>
      </c>
      <c r="R36" s="7">
        <f>1.6*6*4</f>
        <v>38.400000000000006</v>
      </c>
    </row>
    <row r="37" spans="1:23" s="4" customFormat="1" ht="24" x14ac:dyDescent="0.2">
      <c r="A37" s="10" t="s">
        <v>251</v>
      </c>
      <c r="B37" s="206" t="s">
        <v>323</v>
      </c>
      <c r="C37" s="274" t="s">
        <v>322</v>
      </c>
      <c r="D37" s="275"/>
      <c r="E37" s="275"/>
      <c r="F37" s="275"/>
      <c r="G37" s="275"/>
      <c r="H37" s="275"/>
      <c r="I37" s="276"/>
      <c r="J37" s="11" t="s">
        <v>23</v>
      </c>
      <c r="K37" s="7">
        <f>0.4+0.5</f>
        <v>0.9</v>
      </c>
      <c r="L37" s="7">
        <f t="shared" si="7"/>
        <v>41.03</v>
      </c>
      <c r="M37" s="145">
        <f t="shared" si="5"/>
        <v>36.93</v>
      </c>
      <c r="N37" s="4">
        <v>31.09</v>
      </c>
      <c r="O37" s="167">
        <v>0.3196</v>
      </c>
      <c r="P37" s="168">
        <f t="shared" si="3"/>
        <v>9.9363639999999993</v>
      </c>
      <c r="Q37" s="168">
        <f t="shared" si="1"/>
        <v>41.03</v>
      </c>
      <c r="R37" s="208"/>
    </row>
    <row r="38" spans="1:23" s="4" customFormat="1" ht="24" x14ac:dyDescent="0.2">
      <c r="A38" s="10" t="s">
        <v>258</v>
      </c>
      <c r="B38" s="206" t="s">
        <v>325</v>
      </c>
      <c r="C38" s="274" t="s">
        <v>324</v>
      </c>
      <c r="D38" s="275"/>
      <c r="E38" s="275"/>
      <c r="F38" s="275"/>
      <c r="G38" s="275"/>
      <c r="H38" s="275"/>
      <c r="I38" s="276"/>
      <c r="J38" s="11" t="s">
        <v>23</v>
      </c>
      <c r="K38" s="7">
        <f>'Memorial de Cálculo'!E37</f>
        <v>20.81</v>
      </c>
      <c r="L38" s="7">
        <f t="shared" si="7"/>
        <v>59.05</v>
      </c>
      <c r="M38" s="145">
        <f t="shared" si="5"/>
        <v>1228.83</v>
      </c>
      <c r="N38" s="4">
        <v>44.75</v>
      </c>
      <c r="O38" s="167">
        <v>0.3196</v>
      </c>
      <c r="P38" s="168">
        <f t="shared" si="3"/>
        <v>14.302099999999999</v>
      </c>
      <c r="Q38" s="168">
        <f t="shared" si="1"/>
        <v>59.05</v>
      </c>
      <c r="R38" s="208"/>
    </row>
    <row r="39" spans="1:23" s="4" customFormat="1" ht="24" x14ac:dyDescent="0.2">
      <c r="A39" s="10" t="s">
        <v>259</v>
      </c>
      <c r="B39" s="206" t="s">
        <v>327</v>
      </c>
      <c r="C39" s="274" t="s">
        <v>326</v>
      </c>
      <c r="D39" s="275"/>
      <c r="E39" s="275"/>
      <c r="F39" s="275"/>
      <c r="G39" s="275"/>
      <c r="H39" s="275"/>
      <c r="I39" s="276"/>
      <c r="J39" s="11" t="s">
        <v>23</v>
      </c>
      <c r="K39" s="7">
        <v>40</v>
      </c>
      <c r="L39" s="7">
        <f t="shared" si="7"/>
        <v>96.23</v>
      </c>
      <c r="M39" s="145">
        <f t="shared" si="5"/>
        <v>3849.2</v>
      </c>
      <c r="N39" s="4">
        <v>72.92</v>
      </c>
      <c r="O39" s="167">
        <v>0.3196</v>
      </c>
      <c r="P39" s="168">
        <f t="shared" si="3"/>
        <v>23.305232</v>
      </c>
      <c r="Q39" s="168">
        <f t="shared" si="1"/>
        <v>96.23</v>
      </c>
      <c r="R39" s="208"/>
    </row>
    <row r="40" spans="1:23" s="4" customFormat="1" ht="24" x14ac:dyDescent="0.2">
      <c r="A40" s="10" t="s">
        <v>351</v>
      </c>
      <c r="B40" s="206" t="s">
        <v>329</v>
      </c>
      <c r="C40" s="274" t="s">
        <v>328</v>
      </c>
      <c r="D40" s="275"/>
      <c r="E40" s="275"/>
      <c r="F40" s="275"/>
      <c r="G40" s="275"/>
      <c r="H40" s="275"/>
      <c r="I40" s="276"/>
      <c r="J40" s="11" t="s">
        <v>23</v>
      </c>
      <c r="K40" s="7">
        <v>40</v>
      </c>
      <c r="L40" s="7">
        <f t="shared" si="7"/>
        <v>143.74</v>
      </c>
      <c r="M40" s="145">
        <f t="shared" si="5"/>
        <v>5749.6</v>
      </c>
      <c r="N40" s="4">
        <v>108.93</v>
      </c>
      <c r="O40" s="167">
        <v>0.3196</v>
      </c>
      <c r="P40" s="168">
        <f t="shared" si="3"/>
        <v>34.814028</v>
      </c>
      <c r="Q40" s="168">
        <f t="shared" si="1"/>
        <v>143.74</v>
      </c>
      <c r="R40" s="208"/>
    </row>
    <row r="41" spans="1:23" s="4" customFormat="1" ht="12.75" customHeight="1" x14ac:dyDescent="0.2">
      <c r="A41" s="10"/>
      <c r="B41" s="90"/>
      <c r="C41" s="279" t="s">
        <v>12</v>
      </c>
      <c r="D41" s="280"/>
      <c r="E41" s="280"/>
      <c r="F41" s="280"/>
      <c r="G41" s="280"/>
      <c r="H41" s="280"/>
      <c r="I41" s="281"/>
      <c r="J41" s="11"/>
      <c r="K41" s="8"/>
      <c r="L41" s="7"/>
      <c r="M41" s="144">
        <f>SUM(M16:M40)</f>
        <v>289746.3899999999</v>
      </c>
      <c r="O41" s="167">
        <v>0.3196</v>
      </c>
      <c r="P41" s="168"/>
      <c r="Q41" s="168">
        <f t="shared" si="1"/>
        <v>0</v>
      </c>
    </row>
    <row r="42" spans="1:23" s="4" customFormat="1" ht="12.75" customHeight="1" x14ac:dyDescent="0.2">
      <c r="A42" s="9">
        <v>4</v>
      </c>
      <c r="B42" s="91"/>
      <c r="C42" s="285" t="s">
        <v>194</v>
      </c>
      <c r="D42" s="286"/>
      <c r="E42" s="286"/>
      <c r="F42" s="286"/>
      <c r="G42" s="286"/>
      <c r="H42" s="286"/>
      <c r="I42" s="287"/>
      <c r="J42" s="11"/>
      <c r="K42" s="8"/>
      <c r="L42" s="7"/>
      <c r="M42" s="145"/>
      <c r="O42" s="167">
        <v>0.3196</v>
      </c>
      <c r="P42" s="168"/>
      <c r="Q42" s="168">
        <f t="shared" si="1"/>
        <v>0</v>
      </c>
    </row>
    <row r="43" spans="1:23" s="4" customFormat="1" ht="39" customHeight="1" x14ac:dyDescent="0.2">
      <c r="A43" s="10" t="s">
        <v>18</v>
      </c>
      <c r="B43" s="264" t="s">
        <v>331</v>
      </c>
      <c r="C43" s="274" t="s">
        <v>330</v>
      </c>
      <c r="D43" s="275"/>
      <c r="E43" s="275"/>
      <c r="F43" s="275"/>
      <c r="G43" s="275"/>
      <c r="H43" s="275"/>
      <c r="I43" s="276"/>
      <c r="J43" s="11" t="s">
        <v>23</v>
      </c>
      <c r="K43" s="7">
        <v>53.4</v>
      </c>
      <c r="L43" s="7">
        <f t="shared" ref="L43:L58" si="8">Q43</f>
        <v>914.02</v>
      </c>
      <c r="M43" s="145">
        <f t="shared" ref="M43:M44" si="9">ROUND(L43*K43,2)</f>
        <v>48808.67</v>
      </c>
      <c r="N43" s="4">
        <v>692.65</v>
      </c>
      <c r="O43" s="167">
        <v>0.3196</v>
      </c>
      <c r="P43" s="168">
        <f t="shared" si="3"/>
        <v>221.37093999999999</v>
      </c>
      <c r="Q43" s="168">
        <f t="shared" si="1"/>
        <v>914.02</v>
      </c>
    </row>
    <row r="44" spans="1:23" s="4" customFormat="1" ht="28.5" customHeight="1" x14ac:dyDescent="0.2">
      <c r="A44" s="10" t="s">
        <v>332</v>
      </c>
      <c r="B44" s="206" t="s">
        <v>334</v>
      </c>
      <c r="C44" s="312" t="s">
        <v>333</v>
      </c>
      <c r="D44" s="313"/>
      <c r="E44" s="313"/>
      <c r="F44" s="313"/>
      <c r="G44" s="313"/>
      <c r="H44" s="313"/>
      <c r="I44" s="314"/>
      <c r="J44" s="11" t="s">
        <v>10</v>
      </c>
      <c r="K44" s="7">
        <f>'Memorial de Cálculo'!E43</f>
        <v>58.74</v>
      </c>
      <c r="L44" s="7">
        <f>Q44</f>
        <v>11.57</v>
      </c>
      <c r="M44" s="145">
        <f t="shared" si="9"/>
        <v>679.62</v>
      </c>
      <c r="N44" s="4">
        <v>8.77</v>
      </c>
      <c r="O44" s="167">
        <v>0.3196</v>
      </c>
      <c r="P44" s="168">
        <f t="shared" si="3"/>
        <v>2.8028919999999999</v>
      </c>
      <c r="Q44" s="168">
        <f t="shared" si="1"/>
        <v>11.57</v>
      </c>
    </row>
    <row r="45" spans="1:23" s="4" customFormat="1" ht="12.75" customHeight="1" x14ac:dyDescent="0.2">
      <c r="A45" s="10"/>
      <c r="B45" s="90"/>
      <c r="C45" s="279" t="s">
        <v>12</v>
      </c>
      <c r="D45" s="280"/>
      <c r="E45" s="280"/>
      <c r="F45" s="280"/>
      <c r="G45" s="280"/>
      <c r="H45" s="280"/>
      <c r="I45" s="281"/>
      <c r="J45" s="11"/>
      <c r="K45" s="8"/>
      <c r="L45" s="7"/>
      <c r="M45" s="144">
        <f>SUM(M43:M44)</f>
        <v>49488.29</v>
      </c>
      <c r="O45" s="167">
        <v>0.3196</v>
      </c>
      <c r="P45" s="168">
        <f t="shared" si="3"/>
        <v>0</v>
      </c>
      <c r="Q45" s="168">
        <f t="shared" si="1"/>
        <v>0</v>
      </c>
    </row>
    <row r="46" spans="1:23" s="4" customFormat="1" ht="12.75" customHeight="1" x14ac:dyDescent="0.2">
      <c r="A46" s="10"/>
      <c r="B46" s="90"/>
      <c r="C46" s="285" t="s">
        <v>209</v>
      </c>
      <c r="D46" s="286"/>
      <c r="E46" s="286"/>
      <c r="F46" s="286"/>
      <c r="G46" s="286"/>
      <c r="H46" s="286"/>
      <c r="I46" s="287"/>
      <c r="J46" s="11"/>
      <c r="K46" s="8"/>
      <c r="L46" s="7"/>
      <c r="M46" s="144"/>
      <c r="O46" s="167">
        <v>0.3196</v>
      </c>
      <c r="P46" s="168">
        <f t="shared" si="3"/>
        <v>0</v>
      </c>
      <c r="Q46" s="168">
        <f t="shared" si="1"/>
        <v>0</v>
      </c>
    </row>
    <row r="47" spans="1:23" s="4" customFormat="1" ht="12.75" customHeight="1" x14ac:dyDescent="0.2">
      <c r="A47" s="9">
        <v>5</v>
      </c>
      <c r="B47" s="90"/>
      <c r="C47" s="285" t="s">
        <v>210</v>
      </c>
      <c r="D47" s="286"/>
      <c r="E47" s="286"/>
      <c r="F47" s="286"/>
      <c r="G47" s="286"/>
      <c r="H47" s="286"/>
      <c r="I47" s="287"/>
      <c r="J47" s="11"/>
      <c r="K47" s="8"/>
      <c r="L47" s="7"/>
      <c r="M47" s="144"/>
      <c r="O47" s="167">
        <v>0.3196</v>
      </c>
      <c r="P47" s="168">
        <f t="shared" si="3"/>
        <v>0</v>
      </c>
      <c r="Q47" s="168">
        <f t="shared" si="1"/>
        <v>0</v>
      </c>
    </row>
    <row r="48" spans="1:23" s="4" customFormat="1" ht="26.25" customHeight="1" x14ac:dyDescent="0.2">
      <c r="A48" s="10" t="s">
        <v>19</v>
      </c>
      <c r="B48" s="206" t="s">
        <v>311</v>
      </c>
      <c r="C48" s="274" t="s">
        <v>310</v>
      </c>
      <c r="D48" s="275"/>
      <c r="E48" s="275"/>
      <c r="F48" s="275"/>
      <c r="G48" s="275"/>
      <c r="H48" s="275"/>
      <c r="I48" s="276"/>
      <c r="J48" s="11" t="s">
        <v>14</v>
      </c>
      <c r="K48" s="8">
        <f>6*6*3</f>
        <v>108</v>
      </c>
      <c r="L48" s="7">
        <f t="shared" si="8"/>
        <v>81.75</v>
      </c>
      <c r="M48" s="145">
        <f t="shared" ref="M48:M49" si="10">ROUND(L48*K48,2)</f>
        <v>8829</v>
      </c>
      <c r="N48" s="4">
        <v>61.95</v>
      </c>
      <c r="O48" s="167">
        <v>0.3196</v>
      </c>
      <c r="P48" s="168">
        <f t="shared" si="3"/>
        <v>19.799220000000002</v>
      </c>
      <c r="Q48" s="168">
        <f t="shared" si="1"/>
        <v>81.75</v>
      </c>
    </row>
    <row r="49" spans="1:21" s="4" customFormat="1" ht="24.75" customHeight="1" x14ac:dyDescent="0.2">
      <c r="A49" s="10" t="s">
        <v>20</v>
      </c>
      <c r="B49" s="206" t="s">
        <v>216</v>
      </c>
      <c r="C49" s="282" t="s">
        <v>215</v>
      </c>
      <c r="D49" s="283"/>
      <c r="E49" s="283"/>
      <c r="F49" s="283"/>
      <c r="G49" s="283"/>
      <c r="H49" s="283"/>
      <c r="I49" s="284"/>
      <c r="J49" s="11" t="s">
        <v>10</v>
      </c>
      <c r="K49" s="8">
        <v>144</v>
      </c>
      <c r="L49" s="7">
        <f t="shared" si="8"/>
        <v>77.37</v>
      </c>
      <c r="M49" s="145">
        <f t="shared" si="10"/>
        <v>11141.28</v>
      </c>
      <c r="N49" s="4">
        <v>58.63</v>
      </c>
      <c r="O49" s="167">
        <v>0.3196</v>
      </c>
      <c r="P49" s="168">
        <f t="shared" si="3"/>
        <v>18.738147999999999</v>
      </c>
      <c r="Q49" s="168">
        <f t="shared" si="1"/>
        <v>77.37</v>
      </c>
    </row>
    <row r="50" spans="1:21" s="4" customFormat="1" ht="12.75" customHeight="1" x14ac:dyDescent="0.2">
      <c r="A50" s="10"/>
      <c r="B50" s="90"/>
      <c r="C50" s="279" t="s">
        <v>12</v>
      </c>
      <c r="D50" s="280"/>
      <c r="E50" s="280"/>
      <c r="F50" s="280"/>
      <c r="G50" s="280"/>
      <c r="H50" s="280"/>
      <c r="I50" s="281"/>
      <c r="J50" s="11"/>
      <c r="K50" s="8"/>
      <c r="L50" s="7">
        <f t="shared" si="8"/>
        <v>0</v>
      </c>
      <c r="M50" s="144">
        <f>SUM(M48:M49)</f>
        <v>19970.28</v>
      </c>
      <c r="O50" s="167">
        <v>0.3196</v>
      </c>
      <c r="P50" s="168"/>
      <c r="Q50" s="168">
        <f t="shared" si="1"/>
        <v>0</v>
      </c>
    </row>
    <row r="51" spans="1:21" s="4" customFormat="1" ht="12.75" customHeight="1" x14ac:dyDescent="0.2">
      <c r="A51" s="9">
        <v>6</v>
      </c>
      <c r="B51" s="90"/>
      <c r="C51" s="285" t="s">
        <v>211</v>
      </c>
      <c r="D51" s="286"/>
      <c r="E51" s="286"/>
      <c r="F51" s="286"/>
      <c r="G51" s="286"/>
      <c r="H51" s="286"/>
      <c r="I51" s="287"/>
      <c r="J51" s="11"/>
      <c r="K51" s="8"/>
      <c r="L51" s="7">
        <f t="shared" si="8"/>
        <v>0</v>
      </c>
      <c r="M51" s="144"/>
      <c r="O51" s="167">
        <v>0.3196</v>
      </c>
      <c r="P51" s="168"/>
      <c r="Q51" s="168">
        <f t="shared" si="1"/>
        <v>0</v>
      </c>
    </row>
    <row r="52" spans="1:21" s="4" customFormat="1" ht="29.25" customHeight="1" x14ac:dyDescent="0.2">
      <c r="A52" s="10" t="s">
        <v>21</v>
      </c>
      <c r="B52" s="206" t="s">
        <v>364</v>
      </c>
      <c r="C52" s="274" t="s">
        <v>365</v>
      </c>
      <c r="D52" s="275"/>
      <c r="E52" s="275"/>
      <c r="F52" s="275"/>
      <c r="G52" s="275"/>
      <c r="H52" s="275"/>
      <c r="I52" s="276"/>
      <c r="J52" s="7" t="s">
        <v>14</v>
      </c>
      <c r="K52" s="7">
        <v>20</v>
      </c>
      <c r="L52" s="7">
        <f t="shared" si="8"/>
        <v>454.97</v>
      </c>
      <c r="M52" s="145">
        <f t="shared" ref="M52:M59" si="11">ROUND(L52*K52,2)</f>
        <v>9099.4</v>
      </c>
      <c r="N52" s="4">
        <v>344.78</v>
      </c>
      <c r="O52" s="167">
        <v>0.3196</v>
      </c>
      <c r="P52" s="168">
        <f t="shared" si="3"/>
        <v>110.19168799999998</v>
      </c>
      <c r="Q52" s="168">
        <f t="shared" si="1"/>
        <v>454.97</v>
      </c>
    </row>
    <row r="53" spans="1:21" s="4" customFormat="1" ht="25.5" customHeight="1" x14ac:dyDescent="0.2">
      <c r="A53" s="10" t="s">
        <v>208</v>
      </c>
      <c r="B53" s="206" t="s">
        <v>317</v>
      </c>
      <c r="C53" s="274" t="s">
        <v>316</v>
      </c>
      <c r="D53" s="275"/>
      <c r="E53" s="275"/>
      <c r="F53" s="275"/>
      <c r="G53" s="275"/>
      <c r="H53" s="275"/>
      <c r="I53" s="276"/>
      <c r="J53" s="7" t="s">
        <v>10</v>
      </c>
      <c r="K53" s="7">
        <v>157</v>
      </c>
      <c r="L53" s="7">
        <f t="shared" si="8"/>
        <v>144.34</v>
      </c>
      <c r="M53" s="145">
        <f t="shared" si="11"/>
        <v>22661.38</v>
      </c>
      <c r="N53" s="4">
        <v>109.38</v>
      </c>
      <c r="O53" s="167">
        <v>0.3196</v>
      </c>
      <c r="P53" s="168">
        <f t="shared" si="3"/>
        <v>34.957847999999998</v>
      </c>
      <c r="Q53" s="168">
        <f t="shared" si="1"/>
        <v>144.34</v>
      </c>
    </row>
    <row r="54" spans="1:21" s="4" customFormat="1" ht="25.5" customHeight="1" x14ac:dyDescent="0.2">
      <c r="A54" s="10" t="s">
        <v>212</v>
      </c>
      <c r="B54" s="206" t="s">
        <v>338</v>
      </c>
      <c r="C54" s="274" t="s">
        <v>337</v>
      </c>
      <c r="D54" s="275"/>
      <c r="E54" s="275"/>
      <c r="F54" s="275"/>
      <c r="G54" s="275"/>
      <c r="H54" s="275"/>
      <c r="I54" s="276"/>
      <c r="J54" s="7" t="s">
        <v>186</v>
      </c>
      <c r="K54" s="7">
        <v>1240</v>
      </c>
      <c r="L54" s="7">
        <f t="shared" si="8"/>
        <v>21.73</v>
      </c>
      <c r="M54" s="145">
        <f t="shared" si="11"/>
        <v>26945.200000000001</v>
      </c>
      <c r="N54" s="4">
        <v>16.47</v>
      </c>
      <c r="O54" s="167">
        <v>0.3196</v>
      </c>
      <c r="P54" s="168">
        <f t="shared" si="3"/>
        <v>5.2638119999999997</v>
      </c>
      <c r="Q54" s="168">
        <f t="shared" si="1"/>
        <v>21.73</v>
      </c>
    </row>
    <row r="55" spans="1:21" s="4" customFormat="1" ht="28.5" customHeight="1" x14ac:dyDescent="0.2">
      <c r="A55" s="10" t="s">
        <v>213</v>
      </c>
      <c r="B55" s="206" t="s">
        <v>313</v>
      </c>
      <c r="C55" s="274" t="s">
        <v>312</v>
      </c>
      <c r="D55" s="275"/>
      <c r="E55" s="275"/>
      <c r="F55" s="275"/>
      <c r="G55" s="275"/>
      <c r="H55" s="275"/>
      <c r="I55" s="276"/>
      <c r="J55" s="7" t="s">
        <v>186</v>
      </c>
      <c r="K55" s="7">
        <v>25</v>
      </c>
      <c r="L55" s="7">
        <f t="shared" si="8"/>
        <v>18.37</v>
      </c>
      <c r="M55" s="145">
        <f t="shared" si="11"/>
        <v>459.25</v>
      </c>
      <c r="N55" s="4">
        <v>13.92</v>
      </c>
      <c r="O55" s="167">
        <v>0.3196</v>
      </c>
      <c r="P55" s="168">
        <f t="shared" si="3"/>
        <v>4.4488320000000003</v>
      </c>
      <c r="Q55" s="168">
        <f t="shared" si="1"/>
        <v>18.37</v>
      </c>
    </row>
    <row r="56" spans="1:21" s="4" customFormat="1" ht="29.25" customHeight="1" x14ac:dyDescent="0.2">
      <c r="A56" s="10" t="s">
        <v>214</v>
      </c>
      <c r="B56" s="206" t="s">
        <v>229</v>
      </c>
      <c r="C56" s="274" t="s">
        <v>183</v>
      </c>
      <c r="D56" s="275"/>
      <c r="E56" s="275"/>
      <c r="F56" s="275"/>
      <c r="G56" s="275"/>
      <c r="H56" s="275"/>
      <c r="I56" s="276"/>
      <c r="J56" s="11" t="s">
        <v>10</v>
      </c>
      <c r="K56" s="7">
        <v>216</v>
      </c>
      <c r="L56" s="7">
        <f t="shared" si="8"/>
        <v>88.84</v>
      </c>
      <c r="M56" s="145">
        <f t="shared" si="11"/>
        <v>19189.439999999999</v>
      </c>
      <c r="N56" s="4">
        <v>67.319999999999993</v>
      </c>
      <c r="O56" s="167">
        <v>0.3196</v>
      </c>
      <c r="P56" s="168">
        <f t="shared" si="3"/>
        <v>21.515471999999999</v>
      </c>
      <c r="Q56" s="168">
        <f t="shared" si="1"/>
        <v>88.84</v>
      </c>
      <c r="S56" s="4">
        <f>6*6*4</f>
        <v>144</v>
      </c>
      <c r="T56" s="4">
        <f>6*6*2</f>
        <v>72</v>
      </c>
      <c r="U56" s="4">
        <f>S56+T56</f>
        <v>216</v>
      </c>
    </row>
    <row r="57" spans="1:21" s="4" customFormat="1" ht="24.75" customHeight="1" x14ac:dyDescent="0.2">
      <c r="A57" s="10" t="s">
        <v>219</v>
      </c>
      <c r="B57" s="206" t="s">
        <v>340</v>
      </c>
      <c r="C57" s="274" t="s">
        <v>339</v>
      </c>
      <c r="D57" s="275"/>
      <c r="E57" s="275"/>
      <c r="F57" s="275"/>
      <c r="G57" s="275"/>
      <c r="H57" s="275"/>
      <c r="I57" s="276"/>
      <c r="J57" s="11" t="s">
        <v>22</v>
      </c>
      <c r="K57" s="8">
        <v>1</v>
      </c>
      <c r="L57" s="7">
        <f t="shared" si="8"/>
        <v>1027.3499999999999</v>
      </c>
      <c r="M57" s="145">
        <f t="shared" si="11"/>
        <v>1027.3499999999999</v>
      </c>
      <c r="N57" s="4">
        <v>778.53</v>
      </c>
      <c r="O57" s="167">
        <v>0.3196</v>
      </c>
      <c r="P57" s="168">
        <f t="shared" si="3"/>
        <v>248.81818799999999</v>
      </c>
      <c r="Q57" s="168">
        <f t="shared" si="1"/>
        <v>1027.3499999999999</v>
      </c>
    </row>
    <row r="58" spans="1:21" s="4" customFormat="1" ht="24.75" customHeight="1" x14ac:dyDescent="0.2">
      <c r="A58" s="10" t="s">
        <v>220</v>
      </c>
      <c r="B58" s="206" t="s">
        <v>230</v>
      </c>
      <c r="C58" s="282" t="s">
        <v>255</v>
      </c>
      <c r="D58" s="283"/>
      <c r="E58" s="283"/>
      <c r="F58" s="283"/>
      <c r="G58" s="283"/>
      <c r="H58" s="283"/>
      <c r="I58" s="284"/>
      <c r="J58" s="11" t="s">
        <v>23</v>
      </c>
      <c r="K58" s="8">
        <v>20</v>
      </c>
      <c r="L58" s="7">
        <f t="shared" si="8"/>
        <v>134.31</v>
      </c>
      <c r="M58" s="145">
        <f t="shared" si="11"/>
        <v>2686.2</v>
      </c>
      <c r="N58" s="4">
        <v>101.78</v>
      </c>
      <c r="O58" s="167">
        <v>0.3196</v>
      </c>
      <c r="P58" s="168">
        <f t="shared" si="3"/>
        <v>32.528888000000002</v>
      </c>
      <c r="Q58" s="168">
        <f t="shared" si="1"/>
        <v>134.31</v>
      </c>
    </row>
    <row r="59" spans="1:21" s="4" customFormat="1" ht="24.75" customHeight="1" x14ac:dyDescent="0.2">
      <c r="A59" s="10" t="s">
        <v>296</v>
      </c>
      <c r="B59" s="206" t="s">
        <v>315</v>
      </c>
      <c r="C59" s="274" t="s">
        <v>314</v>
      </c>
      <c r="D59" s="275"/>
      <c r="E59" s="275"/>
      <c r="F59" s="275"/>
      <c r="G59" s="275"/>
      <c r="H59" s="275"/>
      <c r="I59" s="276"/>
      <c r="J59" s="7" t="s">
        <v>14</v>
      </c>
      <c r="K59" s="7">
        <v>2.88</v>
      </c>
      <c r="L59" s="7">
        <f>Q59</f>
        <v>580.30999999999995</v>
      </c>
      <c r="M59" s="145">
        <f t="shared" si="11"/>
        <v>1671.29</v>
      </c>
      <c r="N59" s="4">
        <v>439.76</v>
      </c>
      <c r="O59" s="167">
        <v>0.3196</v>
      </c>
      <c r="P59" s="168">
        <f t="shared" si="3"/>
        <v>140.54729599999999</v>
      </c>
      <c r="Q59" s="168">
        <f t="shared" si="1"/>
        <v>580.30999999999995</v>
      </c>
    </row>
    <row r="60" spans="1:21" s="4" customFormat="1" ht="12.75" customHeight="1" x14ac:dyDescent="0.2">
      <c r="A60" s="10"/>
      <c r="B60" s="90"/>
      <c r="C60" s="279" t="s">
        <v>12</v>
      </c>
      <c r="D60" s="280"/>
      <c r="E60" s="280"/>
      <c r="F60" s="280"/>
      <c r="G60" s="280"/>
      <c r="H60" s="280"/>
      <c r="I60" s="281"/>
      <c r="J60" s="11"/>
      <c r="K60" s="8"/>
      <c r="L60" s="7"/>
      <c r="M60" s="144">
        <f>SUM(M52:M59)</f>
        <v>83739.509999999995</v>
      </c>
      <c r="O60" s="167">
        <v>0.3196</v>
      </c>
      <c r="P60" s="168">
        <f t="shared" si="3"/>
        <v>0</v>
      </c>
      <c r="Q60" s="168">
        <f t="shared" si="1"/>
        <v>0</v>
      </c>
    </row>
    <row r="61" spans="1:21" s="4" customFormat="1" ht="12.75" customHeight="1" x14ac:dyDescent="0.2">
      <c r="A61" s="9">
        <v>7</v>
      </c>
      <c r="B61" s="90"/>
      <c r="C61" s="289" t="s">
        <v>86</v>
      </c>
      <c r="D61" s="289"/>
      <c r="E61" s="289"/>
      <c r="F61" s="289"/>
      <c r="G61" s="289"/>
      <c r="H61" s="289"/>
      <c r="I61" s="289"/>
      <c r="J61" s="11"/>
      <c r="K61" s="7"/>
      <c r="L61" s="7"/>
      <c r="M61" s="144"/>
      <c r="O61" s="167">
        <v>0.3196</v>
      </c>
      <c r="P61" s="168">
        <f t="shared" si="3"/>
        <v>0</v>
      </c>
      <c r="Q61" s="168">
        <f t="shared" si="1"/>
        <v>0</v>
      </c>
    </row>
    <row r="62" spans="1:21" s="4" customFormat="1" ht="12.75" customHeight="1" x14ac:dyDescent="0.2">
      <c r="A62" s="10" t="s">
        <v>108</v>
      </c>
      <c r="B62" s="90" t="s">
        <v>110</v>
      </c>
      <c r="C62" s="290" t="s">
        <v>87</v>
      </c>
      <c r="D62" s="290"/>
      <c r="E62" s="290"/>
      <c r="F62" s="290"/>
      <c r="G62" s="290"/>
      <c r="H62" s="290"/>
      <c r="I62" s="290"/>
      <c r="J62" s="11" t="s">
        <v>22</v>
      </c>
      <c r="K62" s="7">
        <v>1</v>
      </c>
      <c r="L62" s="7">
        <f>CPA!I31</f>
        <v>12202.91316</v>
      </c>
      <c r="M62" s="145">
        <f t="shared" ref="M62" si="12">ROUND(L62*K62,2)</f>
        <v>12202.91</v>
      </c>
      <c r="O62" s="167">
        <v>0.3196</v>
      </c>
      <c r="P62" s="168">
        <f t="shared" si="3"/>
        <v>0</v>
      </c>
      <c r="Q62" s="168">
        <f t="shared" si="1"/>
        <v>0</v>
      </c>
    </row>
    <row r="63" spans="1:21" s="4" customFormat="1" ht="12.75" customHeight="1" x14ac:dyDescent="0.2">
      <c r="A63" s="10"/>
      <c r="B63" s="90"/>
      <c r="C63" s="279" t="s">
        <v>12</v>
      </c>
      <c r="D63" s="280"/>
      <c r="E63" s="280"/>
      <c r="F63" s="280"/>
      <c r="G63" s="280"/>
      <c r="H63" s="280"/>
      <c r="I63" s="281"/>
      <c r="J63" s="11"/>
      <c r="K63" s="7"/>
      <c r="L63" s="7"/>
      <c r="M63" s="144">
        <f>M62</f>
        <v>12202.91</v>
      </c>
    </row>
    <row r="64" spans="1:21" s="4" customFormat="1" ht="12.75" customHeight="1" x14ac:dyDescent="0.2">
      <c r="A64" s="10"/>
      <c r="B64" s="143"/>
      <c r="C64" s="291"/>
      <c r="D64" s="291"/>
      <c r="E64" s="291"/>
      <c r="F64" s="291"/>
      <c r="G64" s="291"/>
      <c r="H64" s="291"/>
      <c r="I64" s="291"/>
      <c r="J64" s="11"/>
      <c r="K64" s="7"/>
      <c r="L64" s="7"/>
      <c r="M64" s="126"/>
    </row>
    <row r="65" spans="1:15" s="4" customFormat="1" ht="12.75" customHeight="1" x14ac:dyDescent="0.2">
      <c r="A65" s="10"/>
      <c r="B65" s="12"/>
      <c r="C65" s="292" t="s">
        <v>24</v>
      </c>
      <c r="D65" s="292"/>
      <c r="E65" s="292"/>
      <c r="F65" s="292"/>
      <c r="G65" s="292"/>
      <c r="H65" s="292"/>
      <c r="I65" s="292"/>
      <c r="J65" s="13"/>
      <c r="K65" s="14"/>
      <c r="L65" s="15"/>
      <c r="M65" s="130">
        <f>M45+M41+M14+M11+M63+M60+M50</f>
        <v>465761.97999999986</v>
      </c>
      <c r="N65" s="140"/>
      <c r="O65" s="140"/>
    </row>
    <row r="67" spans="1:15" x14ac:dyDescent="0.2">
      <c r="A67" s="293" t="s">
        <v>366</v>
      </c>
      <c r="B67" s="294"/>
      <c r="C67" s="294"/>
      <c r="D67" s="294"/>
      <c r="E67" s="294"/>
      <c r="F67" s="294"/>
      <c r="G67" s="294"/>
      <c r="I67" s="127" t="s">
        <v>92</v>
      </c>
      <c r="O67" s="141"/>
    </row>
    <row r="68" spans="1:15" x14ac:dyDescent="0.2">
      <c r="M68" s="141"/>
      <c r="O68" s="141"/>
    </row>
    <row r="69" spans="1:15" x14ac:dyDescent="0.2">
      <c r="O69" s="141"/>
    </row>
    <row r="70" spans="1:15" x14ac:dyDescent="0.2">
      <c r="H70" s="277" t="s">
        <v>50</v>
      </c>
      <c r="I70" s="277"/>
      <c r="K70" s="277" t="s">
        <v>202</v>
      </c>
      <c r="L70" s="277"/>
      <c r="M70" s="277"/>
      <c r="O70" s="141"/>
    </row>
    <row r="71" spans="1:15" x14ac:dyDescent="0.2">
      <c r="H71" s="278" t="s">
        <v>59</v>
      </c>
      <c r="I71" s="278"/>
      <c r="K71" s="278" t="s">
        <v>60</v>
      </c>
      <c r="L71" s="288"/>
      <c r="M71" s="288"/>
      <c r="O71" s="141"/>
    </row>
    <row r="72" spans="1:15" x14ac:dyDescent="0.2">
      <c r="M72" s="16"/>
    </row>
    <row r="80" spans="1:15" x14ac:dyDescent="0.2">
      <c r="I80">
        <v>7.4</v>
      </c>
      <c r="J80" s="262">
        <v>0.15</v>
      </c>
      <c r="K80">
        <f>I80+(I80*J80)</f>
        <v>8.51</v>
      </c>
    </row>
  </sheetData>
  <mergeCells count="76">
    <mergeCell ref="C12:I12"/>
    <mergeCell ref="C13:I13"/>
    <mergeCell ref="C44:I44"/>
    <mergeCell ref="C59:I59"/>
    <mergeCell ref="C7:I7"/>
    <mergeCell ref="C8:I8"/>
    <mergeCell ref="C9:I9"/>
    <mergeCell ref="C22:I22"/>
    <mergeCell ref="C42:I42"/>
    <mergeCell ref="C10:I10"/>
    <mergeCell ref="C41:I41"/>
    <mergeCell ref="C14:I14"/>
    <mergeCell ref="C15:I15"/>
    <mergeCell ref="C18:I18"/>
    <mergeCell ref="C25:I25"/>
    <mergeCell ref="C11:I11"/>
    <mergeCell ref="A1:M1"/>
    <mergeCell ref="A2:M2"/>
    <mergeCell ref="A5:A6"/>
    <mergeCell ref="B5:B6"/>
    <mergeCell ref="C5:I6"/>
    <mergeCell ref="J5:J6"/>
    <mergeCell ref="K5:K6"/>
    <mergeCell ref="L5:M5"/>
    <mergeCell ref="B3:K3"/>
    <mergeCell ref="L3:M3"/>
    <mergeCell ref="B4:K4"/>
    <mergeCell ref="L4:M4"/>
    <mergeCell ref="K70:M70"/>
    <mergeCell ref="K71:M71"/>
    <mergeCell ref="C33:I33"/>
    <mergeCell ref="C35:I35"/>
    <mergeCell ref="C61:I61"/>
    <mergeCell ref="C62:I62"/>
    <mergeCell ref="C63:I63"/>
    <mergeCell ref="C64:I64"/>
    <mergeCell ref="C65:I65"/>
    <mergeCell ref="A67:G67"/>
    <mergeCell ref="C45:I45"/>
    <mergeCell ref="C43:I43"/>
    <mergeCell ref="C51:I51"/>
    <mergeCell ref="C52:I52"/>
    <mergeCell ref="C53:I53"/>
    <mergeCell ref="C46:I46"/>
    <mergeCell ref="H70:I70"/>
    <mergeCell ref="H71:I71"/>
    <mergeCell ref="C28:I28"/>
    <mergeCell ref="C30:I30"/>
    <mergeCell ref="C55:I55"/>
    <mergeCell ref="C56:I56"/>
    <mergeCell ref="C57:I57"/>
    <mergeCell ref="C60:I60"/>
    <mergeCell ref="C39:I39"/>
    <mergeCell ref="C40:I40"/>
    <mergeCell ref="C58:I58"/>
    <mergeCell ref="C47:I47"/>
    <mergeCell ref="C48:I48"/>
    <mergeCell ref="C50:I50"/>
    <mergeCell ref="C54:I54"/>
    <mergeCell ref="C49:I49"/>
    <mergeCell ref="C38:I38"/>
    <mergeCell ref="C37:I37"/>
    <mergeCell ref="C16:I16"/>
    <mergeCell ref="C26:I26"/>
    <mergeCell ref="C27:I27"/>
    <mergeCell ref="C24:I24"/>
    <mergeCell ref="C29:I29"/>
    <mergeCell ref="C36:I36"/>
    <mergeCell ref="C23:I23"/>
    <mergeCell ref="C21:I21"/>
    <mergeCell ref="C34:I34"/>
    <mergeCell ref="C17:I17"/>
    <mergeCell ref="C31:I31"/>
    <mergeCell ref="C32:I32"/>
    <mergeCell ref="C19:I19"/>
    <mergeCell ref="C20:I20"/>
  </mergeCells>
  <phoneticPr fontId="34" type="noConversion"/>
  <pageMargins left="1.1023622047244095" right="0.51181102362204722" top="0.78740157480314965" bottom="0.78740157480314965" header="0.31496062992125984" footer="0.31496062992125984"/>
  <pageSetup paperSize="9" scale="80" orientation="landscape" r:id="rId1"/>
  <rowBreaks count="2" manualBreakCount="2">
    <brk id="26" max="12" man="1"/>
    <brk id="45"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A8554-4461-492C-BD00-2E6F58E2C8DF}">
  <dimension ref="A1:C18"/>
  <sheetViews>
    <sheetView workbookViewId="0">
      <selection activeCell="G14" sqref="G14"/>
    </sheetView>
  </sheetViews>
  <sheetFormatPr defaultRowHeight="12.75" x14ac:dyDescent="0.2"/>
  <cols>
    <col min="1" max="1" width="25.42578125" customWidth="1"/>
    <col min="2" max="2" width="16.85546875" customWidth="1"/>
    <col min="3" max="3" width="30.7109375" customWidth="1"/>
  </cols>
  <sheetData>
    <row r="1" spans="1:3" x14ac:dyDescent="0.2">
      <c r="A1" s="320" t="s">
        <v>368</v>
      </c>
      <c r="B1" s="320"/>
      <c r="C1" s="320"/>
    </row>
    <row r="2" spans="1:3" x14ac:dyDescent="0.2">
      <c r="A2" s="322" t="s">
        <v>254</v>
      </c>
      <c r="B2" s="322"/>
      <c r="C2" s="322"/>
    </row>
    <row r="3" spans="1:3" x14ac:dyDescent="0.2">
      <c r="A3" s="320" t="s">
        <v>369</v>
      </c>
      <c r="B3" s="320"/>
      <c r="C3" s="268">
        <v>2383.1999999999998</v>
      </c>
    </row>
    <row r="4" spans="1:3" x14ac:dyDescent="0.2">
      <c r="A4" s="320" t="s">
        <v>370</v>
      </c>
      <c r="B4" s="320"/>
      <c r="C4" s="268">
        <v>1135.68</v>
      </c>
    </row>
    <row r="5" spans="1:3" x14ac:dyDescent="0.2">
      <c r="A5" s="320" t="s">
        <v>371</v>
      </c>
      <c r="B5" s="320"/>
      <c r="C5" s="268">
        <v>2500</v>
      </c>
    </row>
    <row r="6" spans="1:3" x14ac:dyDescent="0.2">
      <c r="A6" s="269">
        <f>(C5+C4+C3)/3</f>
        <v>2006.2933333333333</v>
      </c>
      <c r="B6" s="270"/>
      <c r="C6" s="271"/>
    </row>
    <row r="8" spans="1:3" x14ac:dyDescent="0.2">
      <c r="A8" s="320" t="s">
        <v>368</v>
      </c>
      <c r="B8" s="320"/>
      <c r="C8" s="320"/>
    </row>
    <row r="9" spans="1:3" x14ac:dyDescent="0.2">
      <c r="A9" s="321" t="s">
        <v>253</v>
      </c>
      <c r="B9" s="322"/>
      <c r="C9" s="322"/>
    </row>
    <row r="10" spans="1:3" x14ac:dyDescent="0.2">
      <c r="A10" s="320" t="s">
        <v>369</v>
      </c>
      <c r="B10" s="320"/>
      <c r="C10" s="268">
        <v>3857.8</v>
      </c>
    </row>
    <row r="11" spans="1:3" x14ac:dyDescent="0.2">
      <c r="A11" s="320" t="s">
        <v>370</v>
      </c>
      <c r="B11" s="320"/>
      <c r="C11" s="268">
        <v>1864.98</v>
      </c>
    </row>
    <row r="12" spans="1:3" x14ac:dyDescent="0.2">
      <c r="A12" s="320" t="s">
        <v>371</v>
      </c>
      <c r="B12" s="320"/>
      <c r="C12" s="268">
        <v>3900</v>
      </c>
    </row>
    <row r="13" spans="1:3" x14ac:dyDescent="0.2">
      <c r="A13" s="269">
        <f>(C12+C11+C10)/3</f>
        <v>3207.5933333333328</v>
      </c>
      <c r="B13" s="270"/>
      <c r="C13" s="271"/>
    </row>
    <row r="17" spans="3:3" x14ac:dyDescent="0.2">
      <c r="C17" s="266" t="str">
        <f>PLANILHA!H70</f>
        <v>GERALDO BRUNORO ESTEVES</v>
      </c>
    </row>
    <row r="18" spans="3:3" x14ac:dyDescent="0.2">
      <c r="C18" s="266" t="str">
        <f>PLANILHA!H71</f>
        <v>CREA-ES Nº 033738/D</v>
      </c>
    </row>
  </sheetData>
  <mergeCells count="10">
    <mergeCell ref="A1:C1"/>
    <mergeCell ref="A2:C2"/>
    <mergeCell ref="A3:B3"/>
    <mergeCell ref="A4:B4"/>
    <mergeCell ref="A5:B5"/>
    <mergeCell ref="A8:C8"/>
    <mergeCell ref="A9:C9"/>
    <mergeCell ref="A10:B10"/>
    <mergeCell ref="A11:B11"/>
    <mergeCell ref="A12:B12"/>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68"/>
  <sheetViews>
    <sheetView view="pageBreakPreview" topLeftCell="A40" zoomScale="80" zoomScaleNormal="100" zoomScaleSheetLayoutView="80" workbookViewId="0">
      <selection activeCell="B42" sqref="B42:C42"/>
    </sheetView>
  </sheetViews>
  <sheetFormatPr defaultRowHeight="12.75" x14ac:dyDescent="0.2"/>
  <cols>
    <col min="1" max="1" width="7.42578125" customWidth="1"/>
    <col min="2" max="2" width="73.28515625" customWidth="1"/>
    <col min="3" max="3" width="15.42578125" customWidth="1"/>
    <col min="4" max="4" width="7" customWidth="1"/>
    <col min="5" max="5" width="12.7109375" customWidth="1"/>
    <col min="6" max="6" width="16.28515625" customWidth="1"/>
    <col min="7" max="7" width="11" customWidth="1"/>
    <col min="8" max="8" width="9.5703125" customWidth="1"/>
    <col min="9" max="9" width="21.5703125" customWidth="1"/>
    <col min="10" max="12" width="9.140625" hidden="1" customWidth="1"/>
  </cols>
  <sheetData>
    <row r="1" spans="1:15" ht="32.25" customHeight="1" x14ac:dyDescent="0.4">
      <c r="A1" s="210"/>
      <c r="B1" s="342" t="s">
        <v>26</v>
      </c>
      <c r="C1" s="342"/>
      <c r="D1" s="342"/>
      <c r="E1" s="342"/>
      <c r="F1" s="342"/>
      <c r="G1" s="342"/>
      <c r="H1" s="342"/>
      <c r="I1" s="343"/>
      <c r="J1" s="22"/>
      <c r="K1" s="22"/>
      <c r="L1" s="22"/>
      <c r="M1" s="22"/>
      <c r="N1" s="22"/>
      <c r="O1" s="18"/>
    </row>
    <row r="2" spans="1:15" ht="29.25" customHeight="1" x14ac:dyDescent="0.2">
      <c r="A2" s="211"/>
      <c r="B2" s="344" t="s">
        <v>27</v>
      </c>
      <c r="C2" s="344"/>
      <c r="D2" s="344"/>
      <c r="E2" s="344"/>
      <c r="F2" s="344"/>
      <c r="G2" s="344"/>
      <c r="H2" s="344"/>
      <c r="I2" s="345"/>
      <c r="J2" s="22"/>
      <c r="K2" s="22"/>
      <c r="L2" s="22"/>
      <c r="M2" s="22"/>
      <c r="N2" s="22"/>
      <c r="O2" s="18"/>
    </row>
    <row r="3" spans="1:15" ht="16.5" customHeight="1" x14ac:dyDescent="0.2">
      <c r="A3" s="209" t="s">
        <v>51</v>
      </c>
      <c r="B3" s="346" t="str">
        <f>PLANILHA!B3</f>
        <v>CONSTRUÇÃO DE ESTAÇÃO DE TRATAMENTO DE ÁGUA DE CASTELINHO</v>
      </c>
      <c r="C3" s="346"/>
      <c r="D3" s="346"/>
      <c r="E3" s="346"/>
      <c r="F3" s="346"/>
      <c r="G3" s="346"/>
      <c r="H3" s="346"/>
      <c r="I3" s="346"/>
      <c r="J3" s="22"/>
      <c r="K3" s="22"/>
      <c r="L3" s="22"/>
      <c r="M3" s="22"/>
      <c r="N3" s="22"/>
      <c r="O3" s="18"/>
    </row>
    <row r="4" spans="1:15" ht="16.5" customHeight="1" x14ac:dyDescent="0.2">
      <c r="A4" s="153" t="s">
        <v>52</v>
      </c>
      <c r="B4" s="347" t="str">
        <f>PLANILHA!B4</f>
        <v>CASTELINHO- VARGEM ALTA - ES</v>
      </c>
      <c r="C4" s="347"/>
      <c r="D4" s="347"/>
      <c r="E4" s="347"/>
      <c r="F4" s="347"/>
      <c r="G4" s="347"/>
      <c r="H4" s="347"/>
      <c r="I4" s="347"/>
      <c r="J4" s="22"/>
      <c r="K4" s="22"/>
      <c r="L4" s="22"/>
      <c r="M4" s="22"/>
      <c r="N4" s="22"/>
      <c r="O4" s="18"/>
    </row>
    <row r="5" spans="1:15" ht="24" customHeight="1" x14ac:dyDescent="0.2">
      <c r="A5" s="348" t="s">
        <v>53</v>
      </c>
      <c r="B5" s="348"/>
      <c r="C5" s="348"/>
      <c r="D5" s="348"/>
      <c r="E5" s="348"/>
      <c r="F5" s="348"/>
      <c r="G5" s="348"/>
      <c r="H5" s="348"/>
      <c r="I5" s="348"/>
      <c r="J5" s="22"/>
      <c r="K5" s="22"/>
      <c r="L5" s="22"/>
      <c r="M5" s="22"/>
      <c r="N5" s="22"/>
      <c r="O5" s="18"/>
    </row>
    <row r="6" spans="1:15" ht="12.75" customHeight="1" x14ac:dyDescent="0.2">
      <c r="A6" s="138" t="s">
        <v>0</v>
      </c>
      <c r="B6" s="351" t="s">
        <v>54</v>
      </c>
      <c r="C6" s="351"/>
      <c r="D6" s="138" t="s">
        <v>4</v>
      </c>
      <c r="E6" s="24" t="s">
        <v>5</v>
      </c>
      <c r="F6" s="353" t="s">
        <v>55</v>
      </c>
      <c r="G6" s="353"/>
      <c r="H6" s="353"/>
      <c r="I6" s="353"/>
      <c r="J6" s="22"/>
      <c r="K6" s="22"/>
      <c r="L6" s="22"/>
      <c r="M6" s="22"/>
      <c r="N6" s="22"/>
      <c r="O6" s="18"/>
    </row>
    <row r="7" spans="1:15" ht="12.75" customHeight="1" x14ac:dyDescent="0.2">
      <c r="A7" s="138">
        <v>1</v>
      </c>
      <c r="B7" s="350" t="s">
        <v>11</v>
      </c>
      <c r="C7" s="350"/>
      <c r="D7" s="138"/>
      <c r="E7" s="131"/>
      <c r="F7" s="353"/>
      <c r="G7" s="353"/>
      <c r="H7" s="353"/>
      <c r="I7" s="353"/>
      <c r="J7" s="22"/>
      <c r="K7" s="22"/>
      <c r="L7" s="22"/>
      <c r="M7" s="22"/>
      <c r="N7" s="22"/>
      <c r="O7" s="18"/>
    </row>
    <row r="8" spans="1:15" ht="12.75" customHeight="1" x14ac:dyDescent="0.2">
      <c r="A8" s="154" t="s">
        <v>9</v>
      </c>
      <c r="B8" s="349" t="s">
        <v>25</v>
      </c>
      <c r="C8" s="349"/>
      <c r="D8" s="32" t="s">
        <v>10</v>
      </c>
      <c r="E8" s="33">
        <v>8</v>
      </c>
      <c r="F8" s="290" t="s">
        <v>104</v>
      </c>
      <c r="G8" s="290"/>
      <c r="H8" s="290"/>
      <c r="I8" s="290"/>
      <c r="J8" s="30"/>
      <c r="K8" s="30"/>
      <c r="L8" s="31"/>
      <c r="O8" s="18"/>
    </row>
    <row r="9" spans="1:15" ht="36.75" customHeight="1" x14ac:dyDescent="0.2">
      <c r="A9" s="154" t="s">
        <v>56</v>
      </c>
      <c r="B9" s="352" t="s">
        <v>93</v>
      </c>
      <c r="C9" s="352"/>
      <c r="D9" s="32" t="s">
        <v>23</v>
      </c>
      <c r="E9" s="33">
        <v>5</v>
      </c>
      <c r="F9" s="323" t="s">
        <v>103</v>
      </c>
      <c r="G9" s="290"/>
      <c r="H9" s="290"/>
      <c r="I9" s="290"/>
      <c r="J9" s="23"/>
      <c r="K9" s="23"/>
      <c r="L9" s="23"/>
      <c r="M9" s="23"/>
      <c r="N9" s="23"/>
      <c r="O9" s="18"/>
    </row>
    <row r="10" spans="1:15" x14ac:dyDescent="0.2">
      <c r="A10" s="154"/>
      <c r="B10" s="324"/>
      <c r="C10" s="324"/>
      <c r="D10" s="32"/>
      <c r="E10" s="33"/>
      <c r="F10" s="354"/>
      <c r="G10" s="354"/>
      <c r="H10" s="354"/>
      <c r="I10" s="354"/>
      <c r="J10" s="2"/>
      <c r="K10" s="2"/>
      <c r="L10" s="2"/>
      <c r="M10" s="2"/>
      <c r="N10" s="1"/>
      <c r="O10" s="18"/>
    </row>
    <row r="11" spans="1:15" x14ac:dyDescent="0.2">
      <c r="A11" s="155" t="s">
        <v>57</v>
      </c>
      <c r="B11" s="362" t="s">
        <v>94</v>
      </c>
      <c r="C11" s="362"/>
      <c r="D11" s="32"/>
      <c r="E11" s="33"/>
      <c r="F11" s="354"/>
      <c r="G11" s="354"/>
      <c r="H11" s="354"/>
      <c r="I11" s="354"/>
      <c r="J11" s="26"/>
      <c r="K11" s="19"/>
      <c r="L11" s="20"/>
      <c r="M11" s="27"/>
      <c r="N11" s="27"/>
      <c r="O11" s="18"/>
    </row>
    <row r="12" spans="1:15" ht="38.25" customHeight="1" x14ac:dyDescent="0.2">
      <c r="A12" s="154" t="s">
        <v>13</v>
      </c>
      <c r="B12" s="324" t="str">
        <f>PLANILHA!C13</f>
        <v>LOCACAO CONVENCIONAL DE OBRA, UTILIZANDO GABARITO DE TÁBUAS CORRIDAS PONTALETADAS A CADA 2,00M - 2 UTILIZAÇÕES. AF_10/2018</v>
      </c>
      <c r="C12" s="324"/>
      <c r="D12" s="32" t="s">
        <v>10</v>
      </c>
      <c r="E12" s="33">
        <v>52.42</v>
      </c>
      <c r="F12" s="323" t="s">
        <v>265</v>
      </c>
      <c r="G12" s="323"/>
      <c r="H12" s="323"/>
      <c r="I12" s="323"/>
      <c r="J12" s="26"/>
      <c r="K12" s="19"/>
      <c r="L12" s="20"/>
      <c r="M12" s="27">
        <f>52.42+36</f>
        <v>88.42</v>
      </c>
      <c r="N12" s="27"/>
      <c r="O12" s="18"/>
    </row>
    <row r="13" spans="1:15" x14ac:dyDescent="0.2">
      <c r="A13" s="154"/>
      <c r="B13" s="363"/>
      <c r="C13" s="363"/>
      <c r="D13" s="32"/>
      <c r="E13" s="33"/>
      <c r="F13" s="354"/>
      <c r="G13" s="354"/>
      <c r="H13" s="354"/>
      <c r="I13" s="354"/>
      <c r="J13" s="28"/>
      <c r="K13" s="19"/>
      <c r="L13" s="20"/>
      <c r="M13" s="26"/>
      <c r="N13" s="26"/>
      <c r="O13" s="18"/>
    </row>
    <row r="14" spans="1:15" x14ac:dyDescent="0.2">
      <c r="A14" s="155" t="s">
        <v>58</v>
      </c>
      <c r="B14" s="362" t="str">
        <f>PLANILHA!C15</f>
        <v>ESTRUTURA EM CONCRETO ARMADO E SERVIÇOS GERAIS DIVERSOS</v>
      </c>
      <c r="C14" s="362"/>
      <c r="D14" s="32"/>
      <c r="E14" s="33"/>
      <c r="F14" s="354"/>
      <c r="G14" s="354"/>
      <c r="H14" s="354"/>
      <c r="I14" s="354"/>
      <c r="J14" s="28"/>
      <c r="K14" s="19"/>
      <c r="L14" s="20"/>
      <c r="M14" s="26"/>
      <c r="N14" s="26"/>
      <c r="O14" s="18"/>
    </row>
    <row r="15" spans="1:15" ht="27.75" customHeight="1" x14ac:dyDescent="0.2">
      <c r="A15" s="154" t="s">
        <v>15</v>
      </c>
      <c r="B15" s="364" t="str">
        <f>PLANILHA!C16</f>
        <v>CONCRETO FCK = 40MPA, TRAÇO 1:1,6:1,9 (CIMENTO/ AREIA MÉDIA/ BRITA 1) - PREPARO MECÂNICO COM BETONEIRA 400 L. AF_07/2016</v>
      </c>
      <c r="C15" s="365"/>
      <c r="D15" s="32" t="s">
        <v>10</v>
      </c>
      <c r="E15" s="33">
        <v>50.6</v>
      </c>
      <c r="F15" s="366" t="s">
        <v>349</v>
      </c>
      <c r="G15" s="367"/>
      <c r="H15" s="367"/>
      <c r="I15" s="368"/>
      <c r="J15" s="28"/>
      <c r="K15" s="19"/>
      <c r="L15" s="215"/>
      <c r="M15" s="26">
        <f>8.3*2.85</f>
        <v>23.655000000000001</v>
      </c>
      <c r="N15" s="26">
        <f>6.28*4.58</f>
        <v>28.762400000000003</v>
      </c>
      <c r="O15" s="18">
        <f>23.66+28.76</f>
        <v>52.42</v>
      </c>
    </row>
    <row r="16" spans="1:15" ht="36.75" customHeight="1" x14ac:dyDescent="0.2">
      <c r="A16" s="154" t="s">
        <v>16</v>
      </c>
      <c r="B16" s="324" t="str">
        <f>PLANILHA!C17</f>
        <v>ESCAVAÇÃO MANUAL DE VALA COM PROFUNDIDADE MENOR OU IGUAL A 1,30 M. AF_03/2016</v>
      </c>
      <c r="C16" s="324"/>
      <c r="D16" s="32" t="str">
        <f>PLANILHA!J17</f>
        <v>m3</v>
      </c>
      <c r="E16" s="33">
        <v>128.81</v>
      </c>
      <c r="F16" s="323" t="s">
        <v>223</v>
      </c>
      <c r="G16" s="323"/>
      <c r="H16" s="323"/>
      <c r="I16" s="323"/>
      <c r="J16" s="28"/>
      <c r="K16" s="19"/>
      <c r="L16" s="20"/>
      <c r="M16" s="26">
        <f>(8.5*2.65*3.65)+(0.4*6.2*0.2)+(3.95*6.48*1.7)+(1.75*0.86*0.86*2)</f>
        <v>128.81405000000001</v>
      </c>
      <c r="N16" s="26"/>
      <c r="O16" s="18"/>
    </row>
    <row r="17" spans="1:18" ht="51" customHeight="1" x14ac:dyDescent="0.2">
      <c r="A17" s="154" t="s">
        <v>17</v>
      </c>
      <c r="B17" s="324" t="str">
        <f>PLANILHA!C18</f>
        <v>CONCRETO FCK = 15MPA, TRAÇO 1:3,4:3,5 (CIMENTO/ AREIA MÉDIA/ BRITA 1) - PREPARO MECÂNICO COM BETONEIRA 600 L. AF_07/2016</v>
      </c>
      <c r="C17" s="324"/>
      <c r="D17" s="32" t="str">
        <f>PLANILHA!J18</f>
        <v>m3</v>
      </c>
      <c r="E17" s="33">
        <v>2.1</v>
      </c>
      <c r="F17" s="323" t="s">
        <v>350</v>
      </c>
      <c r="G17" s="323"/>
      <c r="H17" s="323"/>
      <c r="I17" s="323"/>
      <c r="J17" s="28"/>
      <c r="K17" s="19"/>
      <c r="L17" s="20"/>
      <c r="M17" s="26">
        <f>(8.5*2.65)+(0.4*6.2)+(3.95*6.48)+(0.86*0.86*2)</f>
        <v>52.080199999999998</v>
      </c>
      <c r="N17" s="26">
        <f>0.03*1*4*4</f>
        <v>0.48</v>
      </c>
      <c r="O17" s="18"/>
    </row>
    <row r="18" spans="1:18" ht="51" customHeight="1" x14ac:dyDescent="0.2">
      <c r="A18" s="154" t="s">
        <v>96</v>
      </c>
      <c r="B18" s="324" t="str">
        <f>PLANILHA!C19</f>
        <v>ARMAÇÃO DE ESTRUTURAS DE CONCRETO ARMADO, EXCETO VIGAS, PILARES, LAJES E FUNDAÇÕES, UTILIZANDO AÇO CA-50 DE 6,3 MM - MONTAGEM. AF_12/2015</v>
      </c>
      <c r="C18" s="324"/>
      <c r="D18" s="32" t="s">
        <v>186</v>
      </c>
      <c r="E18" s="33">
        <v>202</v>
      </c>
      <c r="F18" s="323" t="s">
        <v>359</v>
      </c>
      <c r="G18" s="323"/>
      <c r="H18" s="323"/>
      <c r="I18" s="323"/>
      <c r="J18" s="28"/>
      <c r="K18" s="19"/>
      <c r="L18" s="265"/>
      <c r="M18" s="26"/>
      <c r="N18" s="26"/>
      <c r="O18" s="18"/>
    </row>
    <row r="19" spans="1:18" ht="51" customHeight="1" x14ac:dyDescent="0.2">
      <c r="A19" s="154" t="s">
        <v>97</v>
      </c>
      <c r="B19" s="324" t="str">
        <f>PLANILHA!C20</f>
        <v>ARMAÇÃO DE ESTRUTURAS DE CONCRETO ARMADO, EXCETO VIGAS, PILARES, LAJES E FUNDAÇÕES, UTILIZANDO AÇO CA-50 DE 8,0 MM - MONTAGEM. AF_12/2015</v>
      </c>
      <c r="C19" s="324"/>
      <c r="D19" s="32" t="s">
        <v>186</v>
      </c>
      <c r="E19" s="33">
        <v>1468</v>
      </c>
      <c r="F19" s="323" t="s">
        <v>358</v>
      </c>
      <c r="G19" s="323"/>
      <c r="H19" s="323"/>
      <c r="I19" s="323"/>
      <c r="J19" s="28"/>
      <c r="K19" s="19"/>
      <c r="L19" s="265"/>
      <c r="M19" s="26"/>
      <c r="N19" s="26"/>
      <c r="O19" s="18"/>
    </row>
    <row r="20" spans="1:18" ht="44.25" customHeight="1" x14ac:dyDescent="0.2">
      <c r="A20" s="154" t="s">
        <v>98</v>
      </c>
      <c r="B20" s="324" t="str">
        <f>PLANILHA!C21</f>
        <v>ARMAÇÃO DE ESTRUTURAS DE CONCRETO ARMADO, EXCETO VIGAS, PILARES, LAJES E FUNDAÇÕES, UTILIZANDO AÇO CA-50 DE 10,0 MM - MONTAGEM. AF_12/2015</v>
      </c>
      <c r="C20" s="324"/>
      <c r="D20" s="32" t="str">
        <f>PLANILHA!J21</f>
        <v>kg</v>
      </c>
      <c r="E20" s="33">
        <v>2201</v>
      </c>
      <c r="F20" s="323" t="s">
        <v>358</v>
      </c>
      <c r="G20" s="323"/>
      <c r="H20" s="323"/>
      <c r="I20" s="323"/>
      <c r="J20" s="28"/>
      <c r="K20" s="19"/>
      <c r="L20" s="20"/>
      <c r="M20" s="26"/>
      <c r="N20" s="26">
        <f>0.48*120</f>
        <v>57.599999999999994</v>
      </c>
      <c r="O20" s="18">
        <f>4800+57.6</f>
        <v>4857.6000000000004</v>
      </c>
    </row>
    <row r="21" spans="1:18" ht="216.75" customHeight="1" x14ac:dyDescent="0.2">
      <c r="A21" s="154" t="s">
        <v>99</v>
      </c>
      <c r="B21" s="324" t="str">
        <f>PLANILHA!C22</f>
        <v>Impermeabilização nas seguintes etapas: chapisco traço 1:2 c/ sika 1 ou equivalente, revest. duplo c/
argamassa de cimento e areia traço 1:3 c/ sika 1 ou equivalente, em 2x15 mm e acab. argamassa 1:1</v>
      </c>
      <c r="C21" s="324"/>
      <c r="D21" s="32" t="str">
        <f>PLANILHA!J22</f>
        <v>m2</v>
      </c>
      <c r="E21" s="132">
        <v>398.52</v>
      </c>
      <c r="F21" s="323" t="s">
        <v>224</v>
      </c>
      <c r="G21" s="323"/>
      <c r="H21" s="323"/>
      <c r="I21" s="323"/>
      <c r="J21" s="28"/>
      <c r="K21" s="19"/>
      <c r="L21" s="20"/>
      <c r="M21" s="26">
        <f>((1.6+1)*2*4*4.55)+((2.15+1.2)*2*4.45)+(1.6*1*4)+ (2.15*1.2*2)+((0.4+2.75+1.03+0.4+2.75+1.03)*1)+((2.35+5+2.35)*1.15)+(3.75*1.85)+(0.4*2.75*2)+(5*0.4)</f>
        <v>166.66749999999999</v>
      </c>
      <c r="N21" s="26">
        <f xml:space="preserve"> (2.3*0.3)+(0.3*2.3)+((2.3+0.3+0.3)*0.5)+((2.3+5.5+5.5+2.3)*2.35)+(5.65*2.3)+(0.7*1.5*2)</f>
        <v>54.585000000000001</v>
      </c>
      <c r="O21" s="212">
        <f>((0.15+0.15+0.62+0.7+0.15+0.4+3.59+0.55+0.07)*0.5)+(3.6*0.4)+((3.29+3.29+1+1)*2.2)+(3.29*1)</f>
        <v>26.795999999999999</v>
      </c>
      <c r="P21">
        <f>(1*4*1.8)+(0.5*1.2)+((0.5+1.2)*0.5)</f>
        <v>8.65</v>
      </c>
      <c r="Q21">
        <f>166.67+54.59+28.8+8.65+129.84+9.97</f>
        <v>398.52</v>
      </c>
      <c r="R21">
        <f>(1.25*10)/50</f>
        <v>0.25</v>
      </c>
    </row>
    <row r="22" spans="1:18" ht="33" customHeight="1" x14ac:dyDescent="0.2">
      <c r="A22" s="154" t="s">
        <v>100</v>
      </c>
      <c r="B22" s="325" t="str">
        <f>PLANILHA!C23</f>
        <v>FABRICAÇÃO, MONTAGEM E DESMONTAGEM DE FORMA PARA RADIER, EM MADEIRA SERRADA, 4 UTILIZAÇÕES. AF_09/2017</v>
      </c>
      <c r="C22" s="325"/>
      <c r="D22" s="32" t="str">
        <f>PLANILHA!J23</f>
        <v>m2</v>
      </c>
      <c r="E22" s="132">
        <v>424</v>
      </c>
      <c r="F22" s="323" t="s">
        <v>360</v>
      </c>
      <c r="G22" s="290"/>
      <c r="H22" s="290"/>
      <c r="I22" s="290"/>
      <c r="J22" s="28"/>
      <c r="K22" s="19"/>
      <c r="L22" s="20"/>
      <c r="M22" s="26">
        <f>((6+2.96+2.95+1.13+1.13)*4.7)+((1.3+1.3+1.1+1.1) *2.35*2)+(5.8*2.8)+(0.48*0.58*2)+(3.75*2.35)+(3.29*2.35)+ ((1.04+1.04+0.91)*1.3)+(0.76*1.21)+(1.3*1.95)+(3.65*1.85)</f>
        <v>136.59389999999999</v>
      </c>
      <c r="N22" s="26">
        <f>((5.2+1.63+6.13+1.85)*0.6)+(0.18*0.6*10)</f>
        <v>9.9659999999999993</v>
      </c>
      <c r="O22" s="18">
        <f>166.67+54.59+28.8+8.65+136.59+9.97</f>
        <v>405.27</v>
      </c>
      <c r="P22">
        <f>O22*0.1</f>
        <v>40.527000000000001</v>
      </c>
      <c r="Q22">
        <f>O22+P22</f>
        <v>445.79699999999997</v>
      </c>
    </row>
    <row r="23" spans="1:18" ht="54" customHeight="1" x14ac:dyDescent="0.2">
      <c r="A23" s="154" t="s">
        <v>102</v>
      </c>
      <c r="B23" s="325" t="str">
        <f>PLANILHA!C24</f>
        <v xml:space="preserve">ESTRUTURA EM MADEIRA DE LEI </v>
      </c>
      <c r="C23" s="325"/>
      <c r="D23" s="32" t="str">
        <f>PLANILHA!J24</f>
        <v>m3</v>
      </c>
      <c r="E23" s="132">
        <v>0.57999999999999996</v>
      </c>
      <c r="F23" s="323" t="s">
        <v>225</v>
      </c>
      <c r="G23" s="290"/>
      <c r="H23" s="290"/>
      <c r="I23" s="290"/>
      <c r="J23" s="28"/>
      <c r="K23" s="19"/>
      <c r="L23" s="128"/>
      <c r="M23" s="26">
        <f>(0.02*0.02*2.9*8)+(0.02*0.02*2.2*20)+(0.12*0.15*2.3*4)+ (0.12*0.15*5.1*3)+((0.55+0.63+0.71+0.64)*3*0.08*0.08)+(1.44*0.32*0.03*4)+((0.27+0.27)*0.08*0.02*8)</f>
        <v>0.57866400000000007</v>
      </c>
      <c r="N23" s="26"/>
      <c r="O23" s="18"/>
    </row>
    <row r="24" spans="1:18" ht="21.75" customHeight="1" x14ac:dyDescent="0.2">
      <c r="A24" s="154" t="s">
        <v>106</v>
      </c>
      <c r="B24" s="325" t="str">
        <f>PLANILHA!C25</f>
        <v>REGISTRO DE GAVETA DE FERRO FUNDIDO DE 150mm com cabeçote</v>
      </c>
      <c r="C24" s="325"/>
      <c r="D24" s="32" t="str">
        <f>PLANILHA!J25</f>
        <v>und</v>
      </c>
      <c r="E24" s="219">
        <v>4</v>
      </c>
      <c r="F24" s="326" t="s">
        <v>260</v>
      </c>
      <c r="G24" s="327"/>
      <c r="H24" s="327"/>
      <c r="I24" s="327"/>
      <c r="J24" s="28"/>
      <c r="K24" s="19"/>
      <c r="L24" s="128"/>
      <c r="M24" s="26"/>
      <c r="N24" s="26"/>
      <c r="O24" s="18"/>
    </row>
    <row r="25" spans="1:18" ht="22.5" customHeight="1" x14ac:dyDescent="0.2">
      <c r="A25" s="154" t="s">
        <v>107</v>
      </c>
      <c r="B25" s="325" t="str">
        <f>PLANILHA!C26</f>
        <v>REGISTRO DE GAVETA DE FERRO FUNDIDO DE 100mm com cabeçote</v>
      </c>
      <c r="C25" s="325"/>
      <c r="D25" s="32" t="str">
        <f>PLANILHA!J26</f>
        <v>und</v>
      </c>
      <c r="E25" s="219">
        <v>2</v>
      </c>
      <c r="F25" s="328" t="s">
        <v>261</v>
      </c>
      <c r="G25" s="329"/>
      <c r="H25" s="329"/>
      <c r="I25" s="330"/>
      <c r="J25" s="28"/>
      <c r="K25" s="19"/>
      <c r="L25" s="215"/>
      <c r="M25" s="26"/>
      <c r="N25" s="26"/>
      <c r="O25" s="18"/>
    </row>
    <row r="26" spans="1:18" ht="38.25" customHeight="1" x14ac:dyDescent="0.2">
      <c r="A26" s="154" t="s">
        <v>187</v>
      </c>
      <c r="B26" s="325" t="str">
        <f>PLANILHA!C27</f>
        <v>Tubo de aço galvanizado, inclusive conexões, diâm. 100mm(4")</v>
      </c>
      <c r="C26" s="325"/>
      <c r="D26" s="32" t="str">
        <f>PLANILHA!J27</f>
        <v>m</v>
      </c>
      <c r="E26" s="219">
        <v>7.1</v>
      </c>
      <c r="F26" s="328" t="s">
        <v>262</v>
      </c>
      <c r="G26" s="329"/>
      <c r="H26" s="329"/>
      <c r="I26" s="330"/>
      <c r="J26" s="28"/>
      <c r="K26" s="19"/>
      <c r="L26" s="215"/>
      <c r="M26" s="26">
        <f>1.1+1.3+1.3+1.3+1.3+0.2+0.2+0.2+0.2</f>
        <v>7.1000000000000005</v>
      </c>
      <c r="N26" s="26"/>
      <c r="O26" s="18"/>
    </row>
    <row r="27" spans="1:18" ht="24.75" customHeight="1" x14ac:dyDescent="0.2">
      <c r="A27" s="154" t="s">
        <v>188</v>
      </c>
      <c r="B27" s="325" t="str">
        <f>PLANILHA!C28</f>
        <v xml:space="preserve">CALHA PARSHALL PADRAO FIBRA VIDRO W=3" </v>
      </c>
      <c r="C27" s="325"/>
      <c r="D27" s="135" t="s">
        <v>22</v>
      </c>
      <c r="E27" s="132">
        <v>1</v>
      </c>
      <c r="F27" s="326" t="s">
        <v>111</v>
      </c>
      <c r="G27" s="327"/>
      <c r="H27" s="327"/>
      <c r="I27" s="327"/>
      <c r="J27" s="28"/>
      <c r="K27" s="19"/>
      <c r="L27" s="128"/>
      <c r="M27" s="26"/>
      <c r="N27" s="26"/>
      <c r="O27" s="18"/>
    </row>
    <row r="28" spans="1:18" ht="50.25" customHeight="1" x14ac:dyDescent="0.2">
      <c r="A28" s="154" t="s">
        <v>204</v>
      </c>
      <c r="B28" s="325" t="str">
        <f>PLANILHA!C29</f>
        <v>DIVISORIA SANITÁRIA, TIPO CABINE, EM GRANITO CINZA POLIDO, ESP = 3CM, ASSENTADO COM ARGAMASSA COLANTE AC III-E, EXCLUSIVE FERRAGENS. AF_01/2021 (chicanas)</v>
      </c>
      <c r="C28" s="325"/>
      <c r="D28" s="135" t="s">
        <v>10</v>
      </c>
      <c r="E28" s="132">
        <v>16.8</v>
      </c>
      <c r="F28" s="326" t="s">
        <v>231</v>
      </c>
      <c r="G28" s="327"/>
      <c r="H28" s="327"/>
      <c r="I28" s="327"/>
      <c r="J28" s="28"/>
      <c r="K28" s="19"/>
      <c r="L28" s="129"/>
      <c r="M28" s="26"/>
      <c r="N28" s="26"/>
      <c r="O28" s="18"/>
    </row>
    <row r="29" spans="1:18" ht="73.5" customHeight="1" x14ac:dyDescent="0.2">
      <c r="A29" s="154" t="s">
        <v>205</v>
      </c>
      <c r="B29" s="325" t="str">
        <f>PLANILHA!C30</f>
        <v>APLICAÇÃO MANUAL DE PINTURA COM TINTA TEXTURIZADA ACRÍLICA EM SUPERFÍCIES EXTERNAS DE SACADA DE EDIFÍCIOS DE MÚLTIPLOS PAVIMENTOS, UMA COR.AF_06/2014</v>
      </c>
      <c r="C29" s="325"/>
      <c r="D29" s="135" t="s">
        <v>10</v>
      </c>
      <c r="E29" s="132">
        <v>139.81</v>
      </c>
      <c r="F29" s="326" t="s">
        <v>232</v>
      </c>
      <c r="G29" s="327"/>
      <c r="H29" s="327"/>
      <c r="I29" s="327"/>
      <c r="J29" s="28"/>
      <c r="K29" s="19"/>
      <c r="L29" s="129"/>
      <c r="M29" s="26">
        <f>129.84+9.97</f>
        <v>139.81</v>
      </c>
      <c r="N29" s="26"/>
      <c r="O29" s="18"/>
    </row>
    <row r="30" spans="1:18" ht="18.75" customHeight="1" x14ac:dyDescent="0.2">
      <c r="A30" s="154" t="s">
        <v>207</v>
      </c>
      <c r="B30" s="325" t="str">
        <f>PLANILHA!C31</f>
        <v xml:space="preserve"> AREIA PARA FILTRO TE=0,50MM CU=1,5MM </v>
      </c>
      <c r="C30" s="325"/>
      <c r="D30" s="214" t="s">
        <v>14</v>
      </c>
      <c r="E30" s="132">
        <v>3.84</v>
      </c>
      <c r="F30" s="326" t="s">
        <v>233</v>
      </c>
      <c r="G30" s="327"/>
      <c r="H30" s="327"/>
      <c r="I30" s="327"/>
      <c r="J30" s="28"/>
      <c r="K30" s="19"/>
      <c r="L30" s="215"/>
      <c r="M30" s="26">
        <f>3.84/4</f>
        <v>0.96</v>
      </c>
      <c r="N30" s="26">
        <f>M30*4</f>
        <v>3.84</v>
      </c>
      <c r="O30" s="18"/>
    </row>
    <row r="31" spans="1:18" ht="18.75" customHeight="1" x14ac:dyDescent="0.2">
      <c r="A31" s="154" t="s">
        <v>217</v>
      </c>
      <c r="B31" s="325" t="str">
        <f>PLANILHA!C32</f>
        <v>SEIXO ROLADO PARA FILTRO 3,2MMX2,0MM</v>
      </c>
      <c r="C31" s="325"/>
      <c r="D31" s="214" t="s">
        <v>14</v>
      </c>
      <c r="E31" s="132">
        <v>0.96</v>
      </c>
      <c r="F31" s="326" t="s">
        <v>234</v>
      </c>
      <c r="G31" s="327"/>
      <c r="H31" s="327"/>
      <c r="I31" s="327"/>
      <c r="J31" s="28"/>
      <c r="K31" s="19"/>
      <c r="L31" s="215"/>
      <c r="M31" s="26">
        <f>0.96/4</f>
        <v>0.24</v>
      </c>
      <c r="N31" s="26"/>
      <c r="O31" s="18"/>
    </row>
    <row r="32" spans="1:18" ht="18.75" customHeight="1" x14ac:dyDescent="0.2">
      <c r="A32" s="154" t="s">
        <v>221</v>
      </c>
      <c r="B32" s="325" t="str">
        <f>PLANILHA!C33</f>
        <v>SEIXO ROLADO PARA FILTRO 6,3MMX3,2MM</v>
      </c>
      <c r="C32" s="325"/>
      <c r="D32" s="214" t="s">
        <v>14</v>
      </c>
      <c r="E32" s="132">
        <v>0.64</v>
      </c>
      <c r="F32" s="326" t="s">
        <v>235</v>
      </c>
      <c r="G32" s="327"/>
      <c r="H32" s="327"/>
      <c r="I32" s="327"/>
      <c r="J32" s="28"/>
      <c r="K32" s="19"/>
      <c r="L32" s="215"/>
      <c r="M32" s="26">
        <f>0.64/4</f>
        <v>0.16</v>
      </c>
      <c r="N32" s="26"/>
      <c r="O32" s="18"/>
    </row>
    <row r="33" spans="1:15" ht="18.75" customHeight="1" x14ac:dyDescent="0.2">
      <c r="A33" s="154" t="s">
        <v>222</v>
      </c>
      <c r="B33" s="325" t="str">
        <f>PLANILHA!C34</f>
        <v>SEIXO ROLADO PARA FILTRO 12,7MMX6,3MM</v>
      </c>
      <c r="C33" s="325"/>
      <c r="D33" s="214" t="s">
        <v>14</v>
      </c>
      <c r="E33" s="132">
        <v>0.64</v>
      </c>
      <c r="F33" s="326" t="s">
        <v>235</v>
      </c>
      <c r="G33" s="327"/>
      <c r="H33" s="327"/>
      <c r="I33" s="327"/>
      <c r="J33" s="28"/>
      <c r="K33" s="19"/>
      <c r="L33" s="215"/>
      <c r="M33" s="26"/>
      <c r="N33" s="26"/>
      <c r="O33" s="18"/>
    </row>
    <row r="34" spans="1:15" ht="18.75" customHeight="1" x14ac:dyDescent="0.2">
      <c r="A34" s="154" t="s">
        <v>236</v>
      </c>
      <c r="B34" s="325" t="str">
        <f>PLANILHA!C35</f>
        <v xml:space="preserve">SEIXO ROLADO PARA FILTRO 19MMX12,7MM </v>
      </c>
      <c r="C34" s="325"/>
      <c r="D34" s="214" t="s">
        <v>14</v>
      </c>
      <c r="E34" s="132">
        <v>0.96</v>
      </c>
      <c r="F34" s="328" t="s">
        <v>234</v>
      </c>
      <c r="G34" s="329"/>
      <c r="H34" s="329"/>
      <c r="I34" s="330"/>
      <c r="J34" s="28"/>
      <c r="K34" s="19"/>
      <c r="L34" s="215"/>
      <c r="M34" s="26"/>
      <c r="N34" s="26"/>
      <c r="O34" s="18"/>
    </row>
    <row r="35" spans="1:15" ht="36" customHeight="1" x14ac:dyDescent="0.2">
      <c r="A35" s="154" t="s">
        <v>238</v>
      </c>
      <c r="B35" s="325" t="str">
        <f>PLANILHA!C36</f>
        <v>TUBO, PVC, SOLDÁVEL, DN 20MM, INSTALADO EM RAMAL OU SUB-RAMAL DE ÁGUA - FORNECIMENTO E INSTALAÇÃO. AF_12/2014</v>
      </c>
      <c r="C35" s="325"/>
      <c r="D35" s="214" t="s">
        <v>23</v>
      </c>
      <c r="E35" s="132">
        <v>52.8</v>
      </c>
      <c r="F35" s="328" t="s">
        <v>241</v>
      </c>
      <c r="G35" s="329"/>
      <c r="H35" s="329"/>
      <c r="I35" s="330"/>
      <c r="J35" s="28"/>
      <c r="K35" s="19"/>
      <c r="L35" s="215"/>
      <c r="M35" s="26">
        <f>0.15*4*6*4</f>
        <v>14.399999999999999</v>
      </c>
      <c r="N35" s="26">
        <f>38.4+14.4</f>
        <v>52.8</v>
      </c>
      <c r="O35" s="18"/>
    </row>
    <row r="36" spans="1:15" ht="26.25" customHeight="1" x14ac:dyDescent="0.2">
      <c r="A36" s="154" t="s">
        <v>251</v>
      </c>
      <c r="B36" s="325" t="str">
        <f>PLANILHA!C37</f>
        <v>TUBO PVC, SÉRIE R, ÁGUA PLUVIAL, DN 50 MM, FORNECIDO E INSTALADO EM RAMAL DE ENCAMINHAMENTO. AF_12/2014</v>
      </c>
      <c r="C36" s="325"/>
      <c r="D36" s="214" t="s">
        <v>23</v>
      </c>
      <c r="E36" s="132">
        <v>0.9</v>
      </c>
      <c r="F36" s="328" t="s">
        <v>239</v>
      </c>
      <c r="G36" s="329"/>
      <c r="H36" s="329"/>
      <c r="I36" s="330"/>
      <c r="J36" s="28"/>
      <c r="K36" s="19"/>
      <c r="L36" s="215"/>
      <c r="M36" s="26"/>
      <c r="N36" s="26"/>
      <c r="O36" s="18"/>
    </row>
    <row r="37" spans="1:15" ht="27" customHeight="1" x14ac:dyDescent="0.2">
      <c r="A37" s="154" t="s">
        <v>258</v>
      </c>
      <c r="B37" s="325" t="str">
        <f>PLANILHA!C38</f>
        <v>TUBO PVC, SÉRIE R, ÁGUA PLUVIAL, DN 75 MM, FORNECIDO E INSTALADO EM RAMAL DE ENCAMINHAMENTO. AF_12/2014</v>
      </c>
      <c r="C37" s="325"/>
      <c r="D37" s="214" t="s">
        <v>23</v>
      </c>
      <c r="E37" s="132">
        <v>20.81</v>
      </c>
      <c r="F37" s="328" t="s">
        <v>237</v>
      </c>
      <c r="G37" s="329"/>
      <c r="H37" s="329"/>
      <c r="I37" s="330"/>
      <c r="J37" s="28"/>
      <c r="K37" s="19"/>
      <c r="L37" s="215"/>
      <c r="M37" s="26"/>
      <c r="N37" s="26"/>
      <c r="O37" s="18"/>
    </row>
    <row r="38" spans="1:15" ht="26.25" customHeight="1" x14ac:dyDescent="0.2">
      <c r="A38" s="154" t="s">
        <v>259</v>
      </c>
      <c r="B38" s="325" t="str">
        <f>PLANILHA!C39</f>
        <v>TUBO PVC, SÉRIE R, ÁGUA PLUVIAL, DN 100 MM, FORNECIDO E INSTALADO EM RAMAL DE ENCAMINHAMENTO. AF_12/2014</v>
      </c>
      <c r="C38" s="325"/>
      <c r="D38" s="214" t="s">
        <v>23</v>
      </c>
      <c r="E38" s="132">
        <v>40</v>
      </c>
      <c r="F38" s="323" t="s">
        <v>240</v>
      </c>
      <c r="G38" s="290"/>
      <c r="H38" s="290"/>
      <c r="I38" s="290"/>
      <c r="J38" s="28"/>
      <c r="K38" s="19"/>
      <c r="L38" s="215"/>
      <c r="M38" s="26"/>
      <c r="N38" s="26"/>
      <c r="O38" s="18"/>
    </row>
    <row r="39" spans="1:15" ht="26.25" customHeight="1" x14ac:dyDescent="0.2">
      <c r="A39" s="154" t="s">
        <v>351</v>
      </c>
      <c r="B39" s="325" t="str">
        <f>PLANILHA!C40</f>
        <v>TUBO PVC, SÉRIE R, ÁGUA PLUVIAL, DN 150 MM, FORNECIDO E INSTALADO EM CONDUTORES VERTICAIS DE ÁGUAS PLUVIAIS. AF_12/2014</v>
      </c>
      <c r="C39" s="325"/>
      <c r="D39" s="214" t="s">
        <v>23</v>
      </c>
      <c r="E39" s="132">
        <v>40</v>
      </c>
      <c r="F39" s="323" t="s">
        <v>240</v>
      </c>
      <c r="G39" s="290"/>
      <c r="H39" s="290"/>
      <c r="I39" s="290"/>
      <c r="J39" s="28"/>
      <c r="K39" s="19"/>
      <c r="L39" s="215"/>
      <c r="M39" s="26"/>
      <c r="N39" s="26"/>
      <c r="O39" s="18"/>
    </row>
    <row r="40" spans="1:15" x14ac:dyDescent="0.2">
      <c r="A40" s="154"/>
      <c r="B40" s="356"/>
      <c r="C40" s="356"/>
      <c r="D40" s="135"/>
      <c r="E40" s="133"/>
      <c r="F40" s="331"/>
      <c r="G40" s="331"/>
      <c r="H40" s="331"/>
      <c r="I40" s="331"/>
      <c r="J40" s="28"/>
      <c r="K40" s="19"/>
      <c r="L40" s="128"/>
      <c r="M40" s="26"/>
      <c r="N40" s="26"/>
      <c r="O40" s="18"/>
    </row>
    <row r="41" spans="1:15" x14ac:dyDescent="0.2">
      <c r="A41" s="156">
        <v>4</v>
      </c>
      <c r="B41" s="332" t="s">
        <v>194</v>
      </c>
      <c r="C41" s="332"/>
      <c r="D41" s="138"/>
      <c r="E41" s="133"/>
      <c r="F41" s="331"/>
      <c r="G41" s="331"/>
      <c r="H41" s="331"/>
      <c r="I41" s="331"/>
      <c r="J41" s="26"/>
      <c r="K41" s="19"/>
      <c r="L41" s="20"/>
      <c r="M41" s="27"/>
      <c r="N41" s="27"/>
      <c r="O41" s="18"/>
    </row>
    <row r="42" spans="1:15" ht="40.5" customHeight="1" x14ac:dyDescent="0.2">
      <c r="A42" s="157" t="s">
        <v>18</v>
      </c>
      <c r="B42" s="325" t="s">
        <v>105</v>
      </c>
      <c r="C42" s="325"/>
      <c r="D42" s="134" t="s">
        <v>23</v>
      </c>
      <c r="E42" s="132">
        <v>53.4</v>
      </c>
      <c r="F42" s="355" t="s">
        <v>335</v>
      </c>
      <c r="G42" s="355"/>
      <c r="H42" s="355"/>
      <c r="I42" s="355"/>
      <c r="J42" s="25"/>
      <c r="K42" s="25"/>
      <c r="L42" s="25"/>
      <c r="M42" s="25"/>
      <c r="N42" s="25"/>
      <c r="O42" s="18"/>
    </row>
    <row r="43" spans="1:15" ht="50.25" customHeight="1" x14ac:dyDescent="0.2">
      <c r="A43" s="157" t="s">
        <v>332</v>
      </c>
      <c r="B43" s="339" t="s">
        <v>333</v>
      </c>
      <c r="C43" s="340"/>
      <c r="D43" s="261" t="s">
        <v>10</v>
      </c>
      <c r="E43" s="132">
        <v>58.74</v>
      </c>
      <c r="F43" s="312" t="s">
        <v>336</v>
      </c>
      <c r="G43" s="313"/>
      <c r="H43" s="313"/>
      <c r="I43" s="314"/>
      <c r="J43" s="25"/>
      <c r="K43" s="25"/>
      <c r="L43" s="25"/>
      <c r="M43" s="25"/>
      <c r="N43" s="25"/>
      <c r="O43" s="18"/>
    </row>
    <row r="44" spans="1:15" ht="18" customHeight="1" x14ac:dyDescent="0.2">
      <c r="A44" s="157"/>
      <c r="B44" s="334"/>
      <c r="C44" s="335"/>
      <c r="D44" s="213"/>
      <c r="E44" s="132"/>
      <c r="F44" s="336"/>
      <c r="G44" s="337"/>
      <c r="H44" s="337"/>
      <c r="I44" s="338"/>
      <c r="J44" s="25"/>
      <c r="K44" s="25"/>
      <c r="L44" s="25"/>
      <c r="M44" s="25"/>
      <c r="N44" s="25"/>
      <c r="O44" s="18"/>
    </row>
    <row r="45" spans="1:15" x14ac:dyDescent="0.2">
      <c r="A45" s="158"/>
      <c r="B45" s="332" t="s">
        <v>242</v>
      </c>
      <c r="C45" s="332"/>
      <c r="D45" s="135"/>
      <c r="E45" s="133"/>
      <c r="F45" s="331"/>
      <c r="G45" s="331"/>
      <c r="H45" s="331"/>
      <c r="I45" s="331"/>
      <c r="J45" s="28"/>
      <c r="K45" s="19"/>
      <c r="L45" s="20"/>
      <c r="M45" s="26"/>
      <c r="N45" s="26"/>
      <c r="O45" s="18"/>
    </row>
    <row r="46" spans="1:15" x14ac:dyDescent="0.2">
      <c r="A46" s="156">
        <v>5</v>
      </c>
      <c r="B46" s="332" t="str">
        <f>PLANILHA!C47</f>
        <v>MOVIMENTO DE TERRA</v>
      </c>
      <c r="C46" s="332"/>
      <c r="D46" s="134"/>
      <c r="E46" s="133"/>
      <c r="F46" s="331"/>
      <c r="G46" s="331"/>
      <c r="H46" s="331"/>
      <c r="I46" s="331"/>
      <c r="J46" s="26"/>
      <c r="K46" s="19"/>
      <c r="L46" s="20"/>
      <c r="M46" s="26"/>
      <c r="N46" s="26"/>
      <c r="O46" s="18"/>
    </row>
    <row r="47" spans="1:15" ht="25.5" customHeight="1" x14ac:dyDescent="0.2">
      <c r="A47" s="157" t="s">
        <v>19</v>
      </c>
      <c r="B47" s="325" t="str">
        <f>PLANILHA!C48</f>
        <v>ESCAVAÇÃO MANUAL DE VALA COM PROFUNDIDADE MENOR OU IGUAL A 1,30 M. AF_03/2016</v>
      </c>
      <c r="C47" s="325"/>
      <c r="D47" s="134" t="s">
        <v>14</v>
      </c>
      <c r="E47" s="132">
        <v>108</v>
      </c>
      <c r="F47" s="323" t="s">
        <v>243</v>
      </c>
      <c r="G47" s="323"/>
      <c r="H47" s="323"/>
      <c r="I47" s="323"/>
      <c r="J47" s="26"/>
      <c r="K47" s="21"/>
      <c r="L47" s="21"/>
      <c r="M47" s="27"/>
      <c r="N47" s="27"/>
      <c r="O47" s="18"/>
    </row>
    <row r="48" spans="1:15" ht="18.75" customHeight="1" x14ac:dyDescent="0.2">
      <c r="A48" s="157" t="s">
        <v>20</v>
      </c>
      <c r="B48" s="325" t="str">
        <f>PLANILHA!C49</f>
        <v>ESCORAMENTO DE VALA, TIPO CONTÍNUO, COM PROFUNDIDADE DE 3,0 A 4,5 M, L</v>
      </c>
      <c r="C48" s="325"/>
      <c r="D48" s="134" t="s">
        <v>10</v>
      </c>
      <c r="E48" s="132">
        <v>144</v>
      </c>
      <c r="F48" s="355" t="s">
        <v>244</v>
      </c>
      <c r="G48" s="355"/>
      <c r="H48" s="355"/>
      <c r="I48" s="355"/>
      <c r="J48" s="26"/>
      <c r="K48" s="21"/>
      <c r="L48" s="21"/>
      <c r="M48" s="27"/>
      <c r="N48" s="27"/>
      <c r="O48" s="18"/>
    </row>
    <row r="49" spans="1:15" x14ac:dyDescent="0.2">
      <c r="A49" s="157"/>
      <c r="B49" s="333"/>
      <c r="C49" s="333"/>
      <c r="D49" s="134"/>
      <c r="E49" s="133"/>
      <c r="F49" s="331"/>
      <c r="G49" s="331"/>
      <c r="H49" s="331"/>
      <c r="I49" s="331"/>
      <c r="J49" s="25"/>
      <c r="K49" s="25"/>
      <c r="L49" s="26"/>
      <c r="M49" s="26"/>
      <c r="N49" s="26"/>
      <c r="O49" s="18"/>
    </row>
    <row r="50" spans="1:15" x14ac:dyDescent="0.2">
      <c r="A50" s="156">
        <v>6</v>
      </c>
      <c r="B50" s="332" t="str">
        <f>PLANILHA!C51</f>
        <v>INFRAESTRUTURA</v>
      </c>
      <c r="C50" s="332"/>
      <c r="D50" s="134"/>
      <c r="E50" s="133"/>
      <c r="F50" s="327"/>
      <c r="G50" s="327"/>
      <c r="H50" s="327"/>
      <c r="I50" s="327"/>
      <c r="J50" s="29"/>
      <c r="K50" s="29"/>
      <c r="L50" s="26"/>
      <c r="M50" s="26"/>
      <c r="N50" s="26"/>
      <c r="O50" s="18"/>
    </row>
    <row r="51" spans="1:15" ht="27.75" customHeight="1" x14ac:dyDescent="0.2">
      <c r="A51" s="157" t="s">
        <v>21</v>
      </c>
      <c r="B51" s="325" t="str">
        <f>PLANILHA!C52</f>
        <v>CONCRETO FCK = 25MPA, TRAÇO 1:2,3:2,7 (EM MASSA SECA DE CIMENTO/ AREIA MÉDIA/ BRITA 1) - PREPARO MECÂNICO COM BETONEIRA 400 L. AF_05/2021</v>
      </c>
      <c r="C51" s="325"/>
      <c r="D51" s="134" t="str">
        <f>PLANILHA!J52</f>
        <v>m3</v>
      </c>
      <c r="E51" s="217">
        <v>20</v>
      </c>
      <c r="F51" s="323" t="s">
        <v>245</v>
      </c>
      <c r="G51" s="323"/>
      <c r="H51" s="323"/>
      <c r="I51" s="323"/>
      <c r="J51" s="25"/>
      <c r="K51" s="25"/>
      <c r="L51" s="27"/>
      <c r="M51" s="27"/>
      <c r="N51" s="27"/>
      <c r="O51" s="18"/>
    </row>
    <row r="52" spans="1:15" ht="30.75" customHeight="1" x14ac:dyDescent="0.2">
      <c r="A52" s="157" t="s">
        <v>208</v>
      </c>
      <c r="B52" s="325" t="str">
        <f>PLANILHA!C53</f>
        <v>FABRICAÇÃO, MONTAGEM E DESMONTAGEM DE FORMA PARA RADIER, EM MADEIRA SERRADA, 4 UTILIZAÇÕES. AF_09/2017</v>
      </c>
      <c r="C52" s="325"/>
      <c r="D52" s="213" t="str">
        <f>PLANILHA!J53</f>
        <v>m2</v>
      </c>
      <c r="E52" s="217">
        <v>157</v>
      </c>
      <c r="F52" s="323" t="s">
        <v>246</v>
      </c>
      <c r="G52" s="323"/>
      <c r="H52" s="323"/>
      <c r="I52" s="323"/>
      <c r="J52" s="25"/>
      <c r="K52" s="25"/>
      <c r="L52" s="27"/>
      <c r="M52" s="27"/>
      <c r="N52" s="27"/>
      <c r="O52" s="18"/>
    </row>
    <row r="53" spans="1:15" ht="25.5" customHeight="1" x14ac:dyDescent="0.2">
      <c r="A53" s="157" t="s">
        <v>212</v>
      </c>
      <c r="B53" s="325" t="str">
        <f>PLANILHA!C54</f>
        <v>ARMAÇÃO DE PILAR OU VIGA DE UMA ESTRUTURA CONVENCIONAL DE CONCRETO ARMADO EM UMA EDIFICAÇÃO TÉRREA OU SOBRADO UTILIZANDO AÇO CA-50 DE 10,0 MM - MONTAGEM. AF_12/2015</v>
      </c>
      <c r="C53" s="325"/>
      <c r="D53" s="213" t="str">
        <f>PLANILHA!J54</f>
        <v>kg</v>
      </c>
      <c r="E53" s="217">
        <v>1240</v>
      </c>
      <c r="F53" s="323" t="s">
        <v>247</v>
      </c>
      <c r="G53" s="323"/>
      <c r="H53" s="323"/>
      <c r="I53" s="323"/>
      <c r="J53" s="25"/>
      <c r="K53" s="25"/>
      <c r="L53" s="27"/>
      <c r="M53" s="27"/>
      <c r="N53" s="27"/>
      <c r="O53" s="18"/>
    </row>
    <row r="54" spans="1:15" ht="28.5" customHeight="1" x14ac:dyDescent="0.2">
      <c r="A54" s="157" t="s">
        <v>213</v>
      </c>
      <c r="B54" s="325" t="str">
        <f>PLANILHA!C55</f>
        <v>ARMAÇÃO DE PILAR OU VIGA DE UMA ESTRUTURA CONVENCIONAL DE CONCRETO ARMADO EM UMA EDIFICAÇÃO TÉRREA OU SOBRADO UTILIZANDO AÇO CA-50 DE 12,5 MM - MONTAGEM. AF_12/2015</v>
      </c>
      <c r="C54" s="325"/>
      <c r="D54" s="213" t="str">
        <f>PLANILHA!J55</f>
        <v>kg</v>
      </c>
      <c r="E54" s="217">
        <v>25</v>
      </c>
      <c r="F54" s="323" t="s">
        <v>248</v>
      </c>
      <c r="G54" s="323"/>
      <c r="H54" s="323"/>
      <c r="I54" s="323"/>
      <c r="J54" s="25"/>
      <c r="K54" s="25"/>
      <c r="L54" s="27"/>
      <c r="M54" s="27"/>
      <c r="N54" s="27"/>
      <c r="O54" s="18"/>
    </row>
    <row r="55" spans="1:15" ht="33.75" customHeight="1" x14ac:dyDescent="0.2">
      <c r="A55" s="157" t="s">
        <v>214</v>
      </c>
      <c r="B55" s="325" t="str">
        <f>PLANILHA!C56</f>
        <v>Impermeabilização nas seguintes etapas: chapisco traço 1:2 c/ sika 1 ou equivalente, revest. duplo c/
argamassa de cimento e areia traço 1:3 c/ sika 1 ou equivalente, em 2x15 mm e acab. argamassa 1:1</v>
      </c>
      <c r="C55" s="325"/>
      <c r="D55" s="213" t="str">
        <f>PLANILHA!J56</f>
        <v>m2</v>
      </c>
      <c r="E55" s="217">
        <v>216</v>
      </c>
      <c r="F55" s="323" t="s">
        <v>249</v>
      </c>
      <c r="G55" s="323"/>
      <c r="H55" s="323"/>
      <c r="I55" s="323"/>
      <c r="J55" s="25"/>
      <c r="K55" s="25"/>
      <c r="L55" s="27"/>
      <c r="M55" s="27"/>
      <c r="N55" s="27"/>
      <c r="O55" s="18"/>
    </row>
    <row r="56" spans="1:15" ht="28.5" customHeight="1" x14ac:dyDescent="0.2">
      <c r="A56" s="157" t="s">
        <v>219</v>
      </c>
      <c r="B56" s="325" t="str">
        <f>PLANILHA!C57</f>
        <v>TAMPAO FOFO SIMPLES COM BASE, CLASSE D400 CARGA MAX 40 T, REDONDO TAMPA 600MM, REDE PLUVIAL/ESGOTO</v>
      </c>
      <c r="C56" s="325"/>
      <c r="D56" s="213" t="str">
        <f>PLANILHA!J57</f>
        <v>und</v>
      </c>
      <c r="E56" s="217">
        <v>1</v>
      </c>
      <c r="F56" s="323" t="s">
        <v>250</v>
      </c>
      <c r="G56" s="323"/>
      <c r="H56" s="323"/>
      <c r="I56" s="323"/>
      <c r="J56" s="25"/>
      <c r="K56" s="25"/>
      <c r="L56" s="27"/>
      <c r="M56" s="27"/>
      <c r="N56" s="27"/>
      <c r="O56" s="18"/>
    </row>
    <row r="57" spans="1:15" ht="21" customHeight="1" x14ac:dyDescent="0.2">
      <c r="A57" s="157" t="s">
        <v>220</v>
      </c>
      <c r="B57" s="325" t="str">
        <f>PLANILHA!C58</f>
        <v>Tubo de aço galvanizado, inclusive conexões, diâm. 100mm(4")</v>
      </c>
      <c r="C57" s="325"/>
      <c r="D57" s="213" t="str">
        <f>PLANILHA!J58</f>
        <v>m</v>
      </c>
      <c r="E57" s="217">
        <v>20</v>
      </c>
      <c r="F57" s="323" t="s">
        <v>299</v>
      </c>
      <c r="G57" s="323"/>
      <c r="H57" s="323"/>
      <c r="I57" s="323"/>
      <c r="J57" s="25"/>
      <c r="K57" s="25"/>
      <c r="L57" s="27"/>
      <c r="M57" s="27"/>
      <c r="N57" s="27"/>
      <c r="O57" s="18"/>
    </row>
    <row r="58" spans="1:15" ht="21" customHeight="1" x14ac:dyDescent="0.2">
      <c r="A58" s="157" t="s">
        <v>296</v>
      </c>
      <c r="B58" s="339" t="s">
        <v>182</v>
      </c>
      <c r="C58" s="340"/>
      <c r="D58" s="216" t="s">
        <v>14</v>
      </c>
      <c r="E58" s="217">
        <v>2.88</v>
      </c>
      <c r="F58" s="274" t="s">
        <v>341</v>
      </c>
      <c r="G58" s="275"/>
      <c r="H58" s="275"/>
      <c r="I58" s="276"/>
      <c r="J58" s="25"/>
      <c r="K58" s="25"/>
      <c r="L58" s="27"/>
      <c r="M58" s="27"/>
      <c r="N58" s="27"/>
      <c r="O58" s="18"/>
    </row>
    <row r="59" spans="1:15" ht="17.25" customHeight="1" x14ac:dyDescent="0.2">
      <c r="A59" s="157"/>
      <c r="B59" s="334"/>
      <c r="C59" s="335"/>
      <c r="D59" s="213"/>
      <c r="E59" s="217"/>
      <c r="F59" s="336"/>
      <c r="G59" s="337"/>
      <c r="H59" s="337"/>
      <c r="I59" s="338"/>
      <c r="J59" s="25"/>
      <c r="K59" s="25"/>
      <c r="L59" s="27"/>
      <c r="M59" s="27"/>
      <c r="N59" s="27"/>
      <c r="O59" s="18"/>
    </row>
    <row r="60" spans="1:15" x14ac:dyDescent="0.2">
      <c r="A60" s="156">
        <v>7</v>
      </c>
      <c r="B60" s="332" t="str">
        <f>PLANILHA!C61</f>
        <v>ADMINISTRAÇÃO LOCAL</v>
      </c>
      <c r="C60" s="332"/>
      <c r="D60" s="134"/>
      <c r="E60" s="133"/>
      <c r="F60" s="341"/>
      <c r="G60" s="341"/>
      <c r="H60" s="341"/>
      <c r="I60" s="341"/>
      <c r="J60" s="29"/>
      <c r="K60" s="29"/>
      <c r="L60" s="26"/>
      <c r="M60" s="26"/>
      <c r="N60" s="26"/>
      <c r="O60" s="18"/>
    </row>
    <row r="61" spans="1:15" ht="24.75" customHeight="1" x14ac:dyDescent="0.2">
      <c r="A61" s="147" t="s">
        <v>108</v>
      </c>
      <c r="B61" s="360" t="str">
        <f>PLANILHA!C62</f>
        <v>Administração do canteiro de obra</v>
      </c>
      <c r="C61" s="360"/>
      <c r="D61" s="149" t="s">
        <v>22</v>
      </c>
      <c r="E61" s="146">
        <v>1</v>
      </c>
      <c r="F61" s="361" t="s">
        <v>111</v>
      </c>
      <c r="G61" s="361"/>
      <c r="H61" s="361"/>
      <c r="I61" s="361"/>
    </row>
    <row r="63" spans="1:15" x14ac:dyDescent="0.2">
      <c r="A63" s="294" t="str">
        <f>PLANILHA!A67:G67</f>
        <v>Vargem Alta/ES, 03 de Novembro de 2021.</v>
      </c>
      <c r="B63" s="294"/>
    </row>
    <row r="66" spans="2:9" x14ac:dyDescent="0.2">
      <c r="B66" s="18"/>
      <c r="C66" s="18"/>
      <c r="D66" s="18"/>
      <c r="E66" s="18"/>
      <c r="F66" s="18"/>
      <c r="G66" s="18"/>
      <c r="H66" s="18"/>
      <c r="I66" s="18"/>
    </row>
    <row r="67" spans="2:9" x14ac:dyDescent="0.2">
      <c r="B67" s="35"/>
      <c r="C67" s="359"/>
      <c r="D67" s="359"/>
      <c r="E67" s="359"/>
      <c r="F67" s="37"/>
      <c r="G67" s="277" t="s">
        <v>50</v>
      </c>
      <c r="H67" s="277"/>
      <c r="I67" s="277"/>
    </row>
    <row r="68" spans="2:9" x14ac:dyDescent="0.2">
      <c r="B68" s="36"/>
      <c r="C68" s="357"/>
      <c r="D68" s="357"/>
      <c r="E68" s="357"/>
      <c r="F68" s="34"/>
      <c r="G68" s="357" t="s">
        <v>61</v>
      </c>
      <c r="H68" s="358"/>
      <c r="I68" s="358"/>
    </row>
  </sheetData>
  <mergeCells count="122">
    <mergeCell ref="B18:C18"/>
    <mergeCell ref="B19:C19"/>
    <mergeCell ref="F18:I18"/>
    <mergeCell ref="F19:I19"/>
    <mergeCell ref="B43:C43"/>
    <mergeCell ref="F43:I43"/>
    <mergeCell ref="B12:C12"/>
    <mergeCell ref="B11:C11"/>
    <mergeCell ref="F13:I13"/>
    <mergeCell ref="F14:I14"/>
    <mergeCell ref="F17:I17"/>
    <mergeCell ref="F20:I20"/>
    <mergeCell ref="F16:I16"/>
    <mergeCell ref="B13:C13"/>
    <mergeCell ref="B20:C20"/>
    <mergeCell ref="B17:C17"/>
    <mergeCell ref="B16:C16"/>
    <mergeCell ref="B14:C14"/>
    <mergeCell ref="F11:I11"/>
    <mergeCell ref="F12:I12"/>
    <mergeCell ref="B15:C15"/>
    <mergeCell ref="F15:I15"/>
    <mergeCell ref="B42:C42"/>
    <mergeCell ref="B41:C41"/>
    <mergeCell ref="G67:I67"/>
    <mergeCell ref="G68:I68"/>
    <mergeCell ref="C67:E67"/>
    <mergeCell ref="C68:E68"/>
    <mergeCell ref="B61:C61"/>
    <mergeCell ref="F61:I61"/>
    <mergeCell ref="A63:B63"/>
    <mergeCell ref="F48:I48"/>
    <mergeCell ref="F46:I46"/>
    <mergeCell ref="F47:I47"/>
    <mergeCell ref="B57:C57"/>
    <mergeCell ref="F57:I57"/>
    <mergeCell ref="B59:C59"/>
    <mergeCell ref="F59:I59"/>
    <mergeCell ref="B55:C55"/>
    <mergeCell ref="F55:I55"/>
    <mergeCell ref="B52:C52"/>
    <mergeCell ref="B53:C53"/>
    <mergeCell ref="B54:C54"/>
    <mergeCell ref="F52:I52"/>
    <mergeCell ref="F40:I40"/>
    <mergeCell ref="B58:C58"/>
    <mergeCell ref="F58:I58"/>
    <mergeCell ref="F60:I60"/>
    <mergeCell ref="F45:I45"/>
    <mergeCell ref="B48:C48"/>
    <mergeCell ref="B10:C10"/>
    <mergeCell ref="B1:I1"/>
    <mergeCell ref="B2:I2"/>
    <mergeCell ref="B3:I3"/>
    <mergeCell ref="B4:I4"/>
    <mergeCell ref="A5:I5"/>
    <mergeCell ref="B8:C8"/>
    <mergeCell ref="B7:C7"/>
    <mergeCell ref="B6:C6"/>
    <mergeCell ref="F9:I9"/>
    <mergeCell ref="B9:C9"/>
    <mergeCell ref="F6:I6"/>
    <mergeCell ref="F7:I7"/>
    <mergeCell ref="F8:I8"/>
    <mergeCell ref="F10:I10"/>
    <mergeCell ref="F42:I42"/>
    <mergeCell ref="B40:C40"/>
    <mergeCell ref="F30:I30"/>
    <mergeCell ref="F41:I41"/>
    <mergeCell ref="B56:C56"/>
    <mergeCell ref="F56:I56"/>
    <mergeCell ref="B50:C50"/>
    <mergeCell ref="B49:C49"/>
    <mergeCell ref="B60:C60"/>
    <mergeCell ref="B51:C51"/>
    <mergeCell ref="F50:I50"/>
    <mergeCell ref="F49:I49"/>
    <mergeCell ref="B47:C47"/>
    <mergeCell ref="F53:I53"/>
    <mergeCell ref="F54:I54"/>
    <mergeCell ref="B46:C46"/>
    <mergeCell ref="B45:C45"/>
    <mergeCell ref="F51:I51"/>
    <mergeCell ref="B44:C44"/>
    <mergeCell ref="F44:I44"/>
    <mergeCell ref="B36:C36"/>
    <mergeCell ref="F36:I36"/>
    <mergeCell ref="F39:I39"/>
    <mergeCell ref="B39:C39"/>
    <mergeCell ref="F23:I23"/>
    <mergeCell ref="F24:I24"/>
    <mergeCell ref="F27:I27"/>
    <mergeCell ref="F28:I28"/>
    <mergeCell ref="B30:C30"/>
    <mergeCell ref="B38:C38"/>
    <mergeCell ref="B31:C31"/>
    <mergeCell ref="B32:C32"/>
    <mergeCell ref="B33:C33"/>
    <mergeCell ref="B34:C34"/>
    <mergeCell ref="B35:C35"/>
    <mergeCell ref="B37:C37"/>
    <mergeCell ref="F31:I31"/>
    <mergeCell ref="F32:I32"/>
    <mergeCell ref="F33:I33"/>
    <mergeCell ref="F34:I34"/>
    <mergeCell ref="F35:I35"/>
    <mergeCell ref="F37:I37"/>
    <mergeCell ref="F38:I38"/>
    <mergeCell ref="F21:I21"/>
    <mergeCell ref="B21:C21"/>
    <mergeCell ref="B22:C22"/>
    <mergeCell ref="B23:C23"/>
    <mergeCell ref="B24:C24"/>
    <mergeCell ref="B27:C27"/>
    <mergeCell ref="B29:C29"/>
    <mergeCell ref="F29:I29"/>
    <mergeCell ref="B28:C28"/>
    <mergeCell ref="B25:C25"/>
    <mergeCell ref="B26:C26"/>
    <mergeCell ref="F25:I25"/>
    <mergeCell ref="F26:I26"/>
    <mergeCell ref="F22:I22"/>
  </mergeCells>
  <phoneticPr fontId="8" type="noConversion"/>
  <pageMargins left="0.39370078740157483" right="0.19685039370078741" top="0.74803149606299213" bottom="0.74803149606299213" header="0.31496062992125984" footer="0.31496062992125984"/>
  <pageSetup paperSize="9" scale="77" fitToHeight="0" orientation="landscape" r:id="rId1"/>
  <rowBreaks count="3" manualBreakCount="3">
    <brk id="20" max="10" man="1"/>
    <brk id="28" max="10" man="1"/>
    <brk id="49" max="10" man="1"/>
  </rowBreaks>
  <colBreaks count="1" manualBreakCount="1">
    <brk id="9" max="67"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40"/>
  <sheetViews>
    <sheetView view="pageBreakPreview" topLeftCell="A19" zoomScaleNormal="100" zoomScaleSheetLayoutView="100" workbookViewId="0">
      <selection activeCell="P8" sqref="P8"/>
    </sheetView>
  </sheetViews>
  <sheetFormatPr defaultRowHeight="12.75" x14ac:dyDescent="0.2"/>
  <cols>
    <col min="2" max="2" width="18.85546875" customWidth="1"/>
    <col min="3" max="3" width="20" customWidth="1"/>
    <col min="4" max="4" width="12.85546875" customWidth="1"/>
    <col min="5" max="7" width="12.85546875" hidden="1" customWidth="1"/>
    <col min="8" max="8" width="12.28515625" customWidth="1"/>
    <col min="9" max="9" width="10.85546875" customWidth="1"/>
    <col min="10" max="10" width="9.5703125" customWidth="1"/>
    <col min="11" max="11" width="10.140625" customWidth="1"/>
    <col min="12" max="16" width="9.85546875" bestFit="1" customWidth="1"/>
  </cols>
  <sheetData>
    <row r="1" spans="1:16" ht="30.75" customHeight="1" x14ac:dyDescent="0.2">
      <c r="A1" s="372" t="s">
        <v>67</v>
      </c>
      <c r="B1" s="373"/>
      <c r="C1" s="373"/>
      <c r="D1" s="373"/>
      <c r="E1" s="373"/>
      <c r="F1" s="373"/>
      <c r="G1" s="373"/>
      <c r="H1" s="373"/>
      <c r="I1" s="373"/>
      <c r="J1" s="373"/>
      <c r="K1" s="373"/>
      <c r="L1" s="373"/>
      <c r="M1" s="373"/>
      <c r="N1" s="373"/>
      <c r="O1" s="373"/>
      <c r="P1" s="374"/>
    </row>
    <row r="2" spans="1:16" ht="20.25" customHeight="1" x14ac:dyDescent="0.2">
      <c r="A2" s="369" t="s">
        <v>27</v>
      </c>
      <c r="B2" s="370"/>
      <c r="C2" s="370"/>
      <c r="D2" s="370"/>
      <c r="E2" s="370"/>
      <c r="F2" s="370"/>
      <c r="G2" s="370"/>
      <c r="H2" s="370"/>
      <c r="I2" s="370"/>
      <c r="J2" s="370"/>
      <c r="K2" s="370"/>
      <c r="L2" s="370"/>
      <c r="M2" s="370"/>
      <c r="N2" s="370"/>
      <c r="O2" s="370"/>
      <c r="P2" s="371"/>
    </row>
    <row r="3" spans="1:16" x14ac:dyDescent="0.2">
      <c r="A3" s="183" t="s">
        <v>2</v>
      </c>
      <c r="B3" s="289" t="str">
        <f>PLANILHA!B3</f>
        <v>CONSTRUÇÃO DE ESTAÇÃO DE TRATAMENTO DE ÁGUA DE CASTELINHO</v>
      </c>
      <c r="C3" s="289"/>
      <c r="D3" s="289"/>
      <c r="E3" s="289"/>
      <c r="F3" s="289"/>
      <c r="G3" s="289"/>
      <c r="H3" s="289"/>
      <c r="I3" s="289"/>
      <c r="J3" s="289"/>
      <c r="K3" s="289"/>
      <c r="L3" s="289"/>
      <c r="M3" s="289"/>
      <c r="N3" s="289"/>
      <c r="O3" s="289"/>
      <c r="P3" s="289"/>
    </row>
    <row r="4" spans="1:16" x14ac:dyDescent="0.2">
      <c r="A4" s="137" t="s">
        <v>3</v>
      </c>
      <c r="B4" s="289" t="str">
        <f>PLANILHA!B4</f>
        <v>CASTELINHO- VARGEM ALTA - ES</v>
      </c>
      <c r="C4" s="289"/>
      <c r="D4" s="289"/>
      <c r="E4" s="289"/>
      <c r="F4" s="289"/>
      <c r="G4" s="289"/>
      <c r="H4" s="289"/>
      <c r="I4" s="289"/>
      <c r="J4" s="289"/>
      <c r="K4" s="289"/>
      <c r="L4" s="289"/>
      <c r="M4" s="289"/>
      <c r="N4" s="289"/>
      <c r="O4" s="289"/>
      <c r="P4" s="289"/>
    </row>
    <row r="5" spans="1:16" ht="18" x14ac:dyDescent="0.2">
      <c r="A5" s="348" t="s">
        <v>68</v>
      </c>
      <c r="B5" s="348"/>
      <c r="C5" s="348"/>
      <c r="D5" s="348"/>
      <c r="E5" s="348"/>
      <c r="F5" s="348"/>
      <c r="G5" s="348"/>
      <c r="H5" s="348"/>
      <c r="I5" s="348"/>
      <c r="J5" s="348"/>
      <c r="K5" s="348"/>
      <c r="L5" s="348"/>
      <c r="M5" s="348"/>
      <c r="N5" s="348"/>
      <c r="O5" s="348"/>
      <c r="P5" s="348"/>
    </row>
    <row r="6" spans="1:16" ht="18" customHeight="1" x14ac:dyDescent="0.2">
      <c r="A6" s="375" t="s">
        <v>0</v>
      </c>
      <c r="B6" s="375" t="s">
        <v>1</v>
      </c>
      <c r="C6" s="375"/>
      <c r="D6" s="377" t="s">
        <v>69</v>
      </c>
      <c r="E6" s="378" t="s">
        <v>138</v>
      </c>
      <c r="F6" s="378"/>
      <c r="G6" s="378"/>
      <c r="H6" s="378"/>
      <c r="I6" s="378"/>
      <c r="J6" s="378"/>
      <c r="K6" s="378"/>
      <c r="L6" s="378"/>
      <c r="M6" s="378"/>
      <c r="N6" s="378"/>
      <c r="O6" s="378"/>
      <c r="P6" s="378"/>
    </row>
    <row r="7" spans="1:16" ht="21" customHeight="1" x14ac:dyDescent="0.2">
      <c r="A7" s="376"/>
      <c r="B7" s="376"/>
      <c r="C7" s="376"/>
      <c r="D7" s="378"/>
      <c r="E7" s="199">
        <v>44501</v>
      </c>
      <c r="F7" s="199">
        <v>44531</v>
      </c>
      <c r="G7" s="199">
        <v>44562</v>
      </c>
      <c r="H7" s="199" t="s">
        <v>372</v>
      </c>
      <c r="I7" s="199" t="s">
        <v>373</v>
      </c>
      <c r="J7" s="199" t="s">
        <v>374</v>
      </c>
      <c r="K7" s="199" t="s">
        <v>375</v>
      </c>
      <c r="L7" s="199" t="s">
        <v>376</v>
      </c>
      <c r="M7" s="199" t="s">
        <v>377</v>
      </c>
      <c r="N7" s="199" t="s">
        <v>378</v>
      </c>
      <c r="O7" s="199" t="s">
        <v>379</v>
      </c>
      <c r="P7" s="199" t="s">
        <v>380</v>
      </c>
    </row>
    <row r="8" spans="1:16" ht="12.75" customHeight="1" x14ac:dyDescent="0.2">
      <c r="A8" s="306">
        <v>1</v>
      </c>
      <c r="B8" s="388" t="str">
        <f>PLANILHA!C8</f>
        <v>INSTALAÇÃO DO CANTEIRO DE OBRAS</v>
      </c>
      <c r="C8" s="388"/>
      <c r="D8" s="159">
        <f>PLANILHA!M11</f>
        <v>7053.71</v>
      </c>
      <c r="E8" s="396" t="s">
        <v>139</v>
      </c>
      <c r="F8" s="397"/>
      <c r="G8" s="398"/>
      <c r="H8" s="41">
        <f>H10*D8</f>
        <v>7053.71</v>
      </c>
      <c r="I8" s="42"/>
      <c r="J8" s="42"/>
      <c r="K8" s="42"/>
      <c r="L8" s="196"/>
      <c r="M8" s="196"/>
      <c r="N8" s="196"/>
      <c r="O8" s="196"/>
      <c r="P8" s="196"/>
    </row>
    <row r="9" spans="1:16" x14ac:dyDescent="0.2">
      <c r="A9" s="306"/>
      <c r="B9" s="388"/>
      <c r="C9" s="388"/>
      <c r="D9" s="160">
        <f>D8/D30</f>
        <v>1.5144452108349426E-2</v>
      </c>
      <c r="E9" s="399"/>
      <c r="F9" s="400"/>
      <c r="G9" s="401"/>
      <c r="H9" s="43"/>
      <c r="I9" s="40"/>
      <c r="J9" s="40"/>
      <c r="K9" s="40"/>
      <c r="L9" s="196"/>
      <c r="M9" s="196"/>
      <c r="N9" s="196"/>
      <c r="O9" s="196"/>
      <c r="P9" s="196"/>
    </row>
    <row r="10" spans="1:16" x14ac:dyDescent="0.2">
      <c r="A10" s="306"/>
      <c r="B10" s="388"/>
      <c r="C10" s="388"/>
      <c r="D10" s="161"/>
      <c r="E10" s="399"/>
      <c r="F10" s="400"/>
      <c r="G10" s="401"/>
      <c r="H10" s="44">
        <v>1</v>
      </c>
      <c r="I10" s="45"/>
      <c r="J10" s="45"/>
      <c r="K10" s="45"/>
      <c r="L10" s="196"/>
      <c r="M10" s="196"/>
      <c r="N10" s="196"/>
      <c r="O10" s="196"/>
      <c r="P10" s="196"/>
    </row>
    <row r="11" spans="1:16" x14ac:dyDescent="0.2">
      <c r="A11" s="306">
        <v>2</v>
      </c>
      <c r="B11" s="388" t="str">
        <f>PLANILHA!C12</f>
        <v>SERVIÇOS PRELIMINARES</v>
      </c>
      <c r="C11" s="388"/>
      <c r="D11" s="159">
        <f>PLANILHA!M14</f>
        <v>3560.89</v>
      </c>
      <c r="E11" s="399"/>
      <c r="F11" s="400"/>
      <c r="G11" s="401"/>
      <c r="H11" s="46">
        <f>H13*D11</f>
        <v>3560.89</v>
      </c>
      <c r="I11" s="47"/>
      <c r="J11" s="47"/>
      <c r="K11" s="47"/>
      <c r="L11" s="196"/>
      <c r="M11" s="196"/>
      <c r="N11" s="196"/>
      <c r="O11" s="196"/>
      <c r="P11" s="196"/>
    </row>
    <row r="12" spans="1:16" x14ac:dyDescent="0.2">
      <c r="A12" s="306"/>
      <c r="B12" s="388"/>
      <c r="C12" s="388"/>
      <c r="D12" s="160">
        <f>D11/D30</f>
        <v>7.6452998589537115E-3</v>
      </c>
      <c r="E12" s="399"/>
      <c r="F12" s="400"/>
      <c r="G12" s="401"/>
      <c r="H12" s="43"/>
      <c r="I12" s="40"/>
      <c r="J12" s="40"/>
      <c r="K12" s="40"/>
      <c r="L12" s="196"/>
      <c r="M12" s="196"/>
      <c r="N12" s="196"/>
      <c r="O12" s="196"/>
      <c r="P12" s="196"/>
    </row>
    <row r="13" spans="1:16" x14ac:dyDescent="0.2">
      <c r="A13" s="306"/>
      <c r="B13" s="388"/>
      <c r="C13" s="388"/>
      <c r="D13" s="161"/>
      <c r="E13" s="399"/>
      <c r="F13" s="400"/>
      <c r="G13" s="401"/>
      <c r="H13" s="48">
        <v>1</v>
      </c>
      <c r="I13" s="49"/>
      <c r="J13" s="49"/>
      <c r="K13" s="49"/>
      <c r="L13" s="196"/>
      <c r="M13" s="196"/>
      <c r="N13" s="196"/>
      <c r="O13" s="196"/>
      <c r="P13" s="196"/>
    </row>
    <row r="14" spans="1:16" x14ac:dyDescent="0.2">
      <c r="A14" s="306">
        <v>3</v>
      </c>
      <c r="B14" s="388" t="str">
        <f>PLANILHA!C15</f>
        <v>ESTRUTURA EM CONCRETO ARMADO E SERVIÇOS GERAIS DIVERSOS</v>
      </c>
      <c r="C14" s="388"/>
      <c r="D14" s="159">
        <f>PLANILHA!M41</f>
        <v>289746.3899999999</v>
      </c>
      <c r="E14" s="399"/>
      <c r="F14" s="400"/>
      <c r="G14" s="401"/>
      <c r="H14" s="63"/>
      <c r="I14" s="63">
        <f>I16*$D14</f>
        <v>86923.916999999972</v>
      </c>
      <c r="J14" s="63">
        <f>J16*$D14</f>
        <v>86923.916999999972</v>
      </c>
      <c r="K14" s="63">
        <f>K16*$D14</f>
        <v>115898.55599999997</v>
      </c>
      <c r="L14" s="196"/>
      <c r="M14" s="196"/>
      <c r="N14" s="196"/>
      <c r="O14" s="196"/>
      <c r="P14" s="196"/>
    </row>
    <row r="15" spans="1:16" x14ac:dyDescent="0.2">
      <c r="A15" s="306"/>
      <c r="B15" s="388"/>
      <c r="C15" s="388"/>
      <c r="D15" s="160">
        <f>D14/D30</f>
        <v>0.62209111615336232</v>
      </c>
      <c r="E15" s="399"/>
      <c r="F15" s="400"/>
      <c r="G15" s="401"/>
      <c r="H15" s="40"/>
      <c r="I15" s="50"/>
      <c r="J15" s="50"/>
      <c r="K15" s="50"/>
      <c r="L15" s="196"/>
      <c r="M15" s="196"/>
      <c r="N15" s="196"/>
      <c r="O15" s="196"/>
      <c r="P15" s="196"/>
    </row>
    <row r="16" spans="1:16" x14ac:dyDescent="0.2">
      <c r="A16" s="306"/>
      <c r="B16" s="388"/>
      <c r="C16" s="388"/>
      <c r="D16" s="161"/>
      <c r="E16" s="399"/>
      <c r="F16" s="400"/>
      <c r="G16" s="401"/>
      <c r="H16" s="194"/>
      <c r="I16" s="62">
        <v>0.3</v>
      </c>
      <c r="J16" s="62">
        <v>0.3</v>
      </c>
      <c r="K16" s="62">
        <v>0.4</v>
      </c>
      <c r="L16" s="196"/>
      <c r="M16" s="196"/>
      <c r="N16" s="196"/>
      <c r="O16" s="196"/>
      <c r="P16" s="196"/>
    </row>
    <row r="17" spans="1:16" x14ac:dyDescent="0.2">
      <c r="A17" s="306">
        <v>4</v>
      </c>
      <c r="B17" s="388" t="str">
        <f>PLANILHA!C42</f>
        <v>GUARDA CORPO</v>
      </c>
      <c r="C17" s="388"/>
      <c r="D17" s="53">
        <f>PLANILHA!M45</f>
        <v>49488.29</v>
      </c>
      <c r="E17" s="399"/>
      <c r="F17" s="400"/>
      <c r="G17" s="401"/>
      <c r="H17" s="47"/>
      <c r="I17" s="51"/>
      <c r="J17" s="195"/>
      <c r="K17" s="195"/>
      <c r="L17" s="124">
        <f t="shared" ref="L17:O17" si="0">L19*$D17</f>
        <v>12372.0725</v>
      </c>
      <c r="M17" s="124">
        <f t="shared" si="0"/>
        <v>12372.0725</v>
      </c>
      <c r="N17" s="124">
        <f t="shared" si="0"/>
        <v>12372.0725</v>
      </c>
      <c r="O17" s="124">
        <f t="shared" si="0"/>
        <v>12372.0725</v>
      </c>
      <c r="P17" s="196"/>
    </row>
    <row r="18" spans="1:16" x14ac:dyDescent="0.2">
      <c r="A18" s="306"/>
      <c r="B18" s="388"/>
      <c r="C18" s="388"/>
      <c r="D18" s="148">
        <f>D17/D30</f>
        <v>0.10625231797580391</v>
      </c>
      <c r="E18" s="399"/>
      <c r="F18" s="400"/>
      <c r="G18" s="401"/>
      <c r="H18" s="52"/>
      <c r="I18" s="52"/>
      <c r="J18" s="52"/>
      <c r="K18" s="52"/>
      <c r="L18" s="64"/>
      <c r="M18" s="64"/>
      <c r="N18" s="64"/>
      <c r="O18" s="64"/>
      <c r="P18" s="196"/>
    </row>
    <row r="19" spans="1:16" x14ac:dyDescent="0.2">
      <c r="A19" s="306"/>
      <c r="B19" s="388"/>
      <c r="C19" s="388"/>
      <c r="D19" s="53"/>
      <c r="E19" s="399"/>
      <c r="F19" s="400"/>
      <c r="G19" s="401"/>
      <c r="H19" s="45"/>
      <c r="I19" s="45"/>
      <c r="J19" s="45"/>
      <c r="K19" s="45"/>
      <c r="L19" s="45">
        <v>0.25</v>
      </c>
      <c r="M19" s="45">
        <v>0.25</v>
      </c>
      <c r="N19" s="45">
        <v>0.25</v>
      </c>
      <c r="O19" s="45">
        <v>0.25</v>
      </c>
      <c r="P19" s="196"/>
    </row>
    <row r="20" spans="1:16" x14ac:dyDescent="0.2">
      <c r="A20" s="385">
        <v>5</v>
      </c>
      <c r="B20" s="379" t="str">
        <f>PLANILHA!C47</f>
        <v>MOVIMENTO DE TERRA</v>
      </c>
      <c r="C20" s="380"/>
      <c r="D20" s="53">
        <f>PLANILHA!M50</f>
        <v>19970.28</v>
      </c>
      <c r="E20" s="399"/>
      <c r="F20" s="400"/>
      <c r="G20" s="401"/>
      <c r="H20" s="45"/>
      <c r="I20" s="65"/>
      <c r="J20" s="195"/>
      <c r="K20" s="51"/>
      <c r="L20" s="51"/>
      <c r="M20" s="51"/>
      <c r="N20" s="51"/>
      <c r="O20" s="51"/>
      <c r="P20" s="51">
        <f t="shared" ref="P20" si="1">P22*$D20</f>
        <v>19970.28</v>
      </c>
    </row>
    <row r="21" spans="1:16" x14ac:dyDescent="0.2">
      <c r="A21" s="386"/>
      <c r="B21" s="381"/>
      <c r="C21" s="382"/>
      <c r="D21" s="148">
        <f>D20/D30</f>
        <v>4.28765782900528E-2</v>
      </c>
      <c r="E21" s="399"/>
      <c r="F21" s="400"/>
      <c r="G21" s="401"/>
      <c r="H21" s="45"/>
      <c r="I21" s="52"/>
      <c r="J21" s="52"/>
      <c r="K21" s="52"/>
      <c r="L21" s="52"/>
      <c r="M21" s="52"/>
      <c r="N21" s="52"/>
      <c r="O21" s="64"/>
      <c r="P21" s="64"/>
    </row>
    <row r="22" spans="1:16" x14ac:dyDescent="0.2">
      <c r="A22" s="387"/>
      <c r="B22" s="383"/>
      <c r="C22" s="384"/>
      <c r="D22" s="53"/>
      <c r="E22" s="399"/>
      <c r="F22" s="400"/>
      <c r="G22" s="401"/>
      <c r="H22" s="45"/>
      <c r="I22" s="45"/>
      <c r="J22" s="197"/>
      <c r="K22" s="45"/>
      <c r="L22" s="45"/>
      <c r="M22" s="45"/>
      <c r="N22" s="45"/>
      <c r="O22" s="45"/>
      <c r="P22" s="45">
        <v>1</v>
      </c>
    </row>
    <row r="23" spans="1:16" x14ac:dyDescent="0.2">
      <c r="A23" s="385">
        <v>6</v>
      </c>
      <c r="B23" s="379" t="str">
        <f>PLANILHA!C51</f>
        <v>INFRAESTRUTURA</v>
      </c>
      <c r="C23" s="380"/>
      <c r="D23" s="53">
        <f>PLANILHA!M60</f>
        <v>83739.509999999995</v>
      </c>
      <c r="E23" s="399"/>
      <c r="F23" s="400"/>
      <c r="G23" s="401"/>
      <c r="H23" s="45"/>
      <c r="I23" s="45"/>
      <c r="J23" s="162"/>
      <c r="K23" s="195"/>
      <c r="L23" s="195"/>
      <c r="M23" s="195"/>
      <c r="N23" s="195"/>
      <c r="O23" s="195"/>
      <c r="P23" s="124">
        <f t="shared" ref="P23" si="2">P25*$D23</f>
        <v>83739.509999999995</v>
      </c>
    </row>
    <row r="24" spans="1:16" x14ac:dyDescent="0.2">
      <c r="A24" s="386"/>
      <c r="B24" s="381"/>
      <c r="C24" s="382"/>
      <c r="D24" s="148">
        <f>D23/D30</f>
        <v>0.17979035128629442</v>
      </c>
      <c r="E24" s="399"/>
      <c r="F24" s="400"/>
      <c r="G24" s="401"/>
      <c r="H24" s="45"/>
      <c r="I24" s="45"/>
      <c r="J24" s="163"/>
      <c r="K24" s="45"/>
      <c r="L24" s="45"/>
      <c r="M24" s="45"/>
      <c r="N24" s="45"/>
      <c r="O24" s="45"/>
      <c r="P24" s="121"/>
    </row>
    <row r="25" spans="1:16" x14ac:dyDescent="0.2">
      <c r="A25" s="387"/>
      <c r="B25" s="383"/>
      <c r="C25" s="384"/>
      <c r="D25" s="53"/>
      <c r="E25" s="399"/>
      <c r="F25" s="400"/>
      <c r="G25" s="401"/>
      <c r="H25" s="45"/>
      <c r="I25" s="45"/>
      <c r="J25" s="45"/>
      <c r="K25" s="45"/>
      <c r="L25" s="45"/>
      <c r="M25" s="45"/>
      <c r="N25" s="45"/>
      <c r="O25" s="45"/>
      <c r="P25" s="45">
        <v>1</v>
      </c>
    </row>
    <row r="26" spans="1:16" x14ac:dyDescent="0.2">
      <c r="A26" s="306">
        <v>7</v>
      </c>
      <c r="B26" s="388" t="str">
        <f>PLANILHA!C61</f>
        <v>ADMINISTRAÇÃO LOCAL</v>
      </c>
      <c r="C26" s="388"/>
      <c r="D26" s="53">
        <f>PLANILHA!M63</f>
        <v>12202.91</v>
      </c>
      <c r="E26" s="399"/>
      <c r="F26" s="400"/>
      <c r="G26" s="401"/>
      <c r="H26" s="47">
        <f>H28*$D26</f>
        <v>1355.8788888888887</v>
      </c>
      <c r="I26" s="47">
        <f t="shared" ref="I26:P26" si="3">I28*$D26</f>
        <v>1355.8788888888887</v>
      </c>
      <c r="J26" s="47">
        <f t="shared" si="3"/>
        <v>1355.8788888888887</v>
      </c>
      <c r="K26" s="47">
        <f t="shared" si="3"/>
        <v>1355.8788888888887</v>
      </c>
      <c r="L26" s="47">
        <f t="shared" si="3"/>
        <v>1355.8788888888887</v>
      </c>
      <c r="M26" s="47">
        <f t="shared" si="3"/>
        <v>1355.8788888888887</v>
      </c>
      <c r="N26" s="47">
        <f t="shared" si="3"/>
        <v>1355.8788888888887</v>
      </c>
      <c r="O26" s="47">
        <f t="shared" si="3"/>
        <v>1355.8788888888887</v>
      </c>
      <c r="P26" s="47">
        <f t="shared" si="3"/>
        <v>1355.8788888888887</v>
      </c>
    </row>
    <row r="27" spans="1:16" x14ac:dyDescent="0.2">
      <c r="A27" s="306"/>
      <c r="B27" s="388"/>
      <c r="C27" s="388"/>
      <c r="D27" s="148">
        <f>D26/D30</f>
        <v>2.6199884327183606E-2</v>
      </c>
      <c r="E27" s="399"/>
      <c r="F27" s="400"/>
      <c r="G27" s="401"/>
      <c r="H27" s="121"/>
      <c r="I27" s="121"/>
      <c r="J27" s="121"/>
      <c r="K27" s="121"/>
      <c r="L27" s="121"/>
      <c r="M27" s="121"/>
      <c r="N27" s="121"/>
      <c r="O27" s="121"/>
      <c r="P27" s="121"/>
    </row>
    <row r="28" spans="1:16" x14ac:dyDescent="0.2">
      <c r="A28" s="306"/>
      <c r="B28" s="388"/>
      <c r="C28" s="388"/>
      <c r="D28" s="53"/>
      <c r="E28" s="399"/>
      <c r="F28" s="400"/>
      <c r="G28" s="401"/>
      <c r="H28" s="148">
        <v>0.1111111111111111</v>
      </c>
      <c r="I28" s="148">
        <v>0.1111111111111111</v>
      </c>
      <c r="J28" s="148">
        <v>0.1111111111111111</v>
      </c>
      <c r="K28" s="148">
        <v>0.1111111111111111</v>
      </c>
      <c r="L28" s="148">
        <v>0.1111111111111111</v>
      </c>
      <c r="M28" s="148">
        <v>0.1111111111111111</v>
      </c>
      <c r="N28" s="148">
        <v>0.1111111111111111</v>
      </c>
      <c r="O28" s="148">
        <v>0.1111111111111111</v>
      </c>
      <c r="P28" s="148">
        <v>0.1111111111111111</v>
      </c>
    </row>
    <row r="29" spans="1:16" x14ac:dyDescent="0.2">
      <c r="A29" s="136"/>
      <c r="B29" s="306"/>
      <c r="C29" s="306"/>
      <c r="D29" s="53"/>
      <c r="E29" s="399"/>
      <c r="F29" s="400"/>
      <c r="G29" s="401"/>
      <c r="H29" s="45"/>
      <c r="I29" s="45"/>
      <c r="J29" s="45"/>
      <c r="K29" s="45"/>
      <c r="L29" s="45"/>
      <c r="M29" s="45"/>
      <c r="N29" s="45"/>
      <c r="O29" s="45"/>
      <c r="P29" s="45"/>
    </row>
    <row r="30" spans="1:16" x14ac:dyDescent="0.2">
      <c r="A30" s="39"/>
      <c r="B30" s="395" t="s">
        <v>70</v>
      </c>
      <c r="C30" s="395"/>
      <c r="D30" s="54">
        <f>D8+D11+D14+D17+D20+D23+D26</f>
        <v>465761.97999999981</v>
      </c>
      <c r="E30" s="399"/>
      <c r="F30" s="400"/>
      <c r="G30" s="401"/>
      <c r="H30" s="51">
        <f t="shared" ref="H30:P30" si="4">H23+H20+H17+H14+H11+H8+H26</f>
        <v>11970.478888888889</v>
      </c>
      <c r="I30" s="51">
        <f t="shared" si="4"/>
        <v>88279.795888888868</v>
      </c>
      <c r="J30" s="51">
        <f t="shared" si="4"/>
        <v>88279.795888888868</v>
      </c>
      <c r="K30" s="51">
        <f t="shared" si="4"/>
        <v>117254.43488888886</v>
      </c>
      <c r="L30" s="51">
        <f t="shared" si="4"/>
        <v>13727.951388888889</v>
      </c>
      <c r="M30" s="51">
        <f t="shared" si="4"/>
        <v>13727.951388888889</v>
      </c>
      <c r="N30" s="51">
        <f t="shared" si="4"/>
        <v>13727.951388888889</v>
      </c>
      <c r="O30" s="51">
        <f t="shared" si="4"/>
        <v>13727.951388888889</v>
      </c>
      <c r="P30" s="51">
        <f t="shared" si="4"/>
        <v>105065.66888888889</v>
      </c>
    </row>
    <row r="31" spans="1:16" x14ac:dyDescent="0.2">
      <c r="A31" s="39"/>
      <c r="B31" s="395" t="s">
        <v>71</v>
      </c>
      <c r="C31" s="395"/>
      <c r="D31" s="53"/>
      <c r="E31" s="399"/>
      <c r="F31" s="400"/>
      <c r="G31" s="401"/>
      <c r="H31" s="51">
        <f>H30</f>
        <v>11970.478888888889</v>
      </c>
      <c r="I31" s="51">
        <f>H31+I30</f>
        <v>100250.27477777775</v>
      </c>
      <c r="J31" s="51">
        <f>J30+I31</f>
        <v>188530.07066666661</v>
      </c>
      <c r="K31" s="51">
        <f>K30+J31</f>
        <v>305784.50555555546</v>
      </c>
      <c r="L31" s="51">
        <f t="shared" ref="L31:P31" si="5">L30+K31</f>
        <v>319512.45694444433</v>
      </c>
      <c r="M31" s="51">
        <f t="shared" si="5"/>
        <v>333240.40833333321</v>
      </c>
      <c r="N31" s="51">
        <f t="shared" si="5"/>
        <v>346968.35972222209</v>
      </c>
      <c r="O31" s="51">
        <f t="shared" si="5"/>
        <v>360696.31111111096</v>
      </c>
      <c r="P31" s="142">
        <f t="shared" si="5"/>
        <v>465761.97999999986</v>
      </c>
    </row>
    <row r="32" spans="1:16" x14ac:dyDescent="0.2">
      <c r="A32" s="39"/>
      <c r="B32" s="395" t="s">
        <v>72</v>
      </c>
      <c r="C32" s="395"/>
      <c r="D32" s="55">
        <f>D9+D12+D15+D18+D21+D24+D27</f>
        <v>1.0000000000000002</v>
      </c>
      <c r="E32" s="399"/>
      <c r="F32" s="400"/>
      <c r="G32" s="401"/>
      <c r="H32" s="49">
        <f>H30/D30</f>
        <v>2.5700850225879094E-2</v>
      </c>
      <c r="I32" s="49">
        <f t="shared" ref="I32:P32" si="6">I30/$D30</f>
        <v>0.18953843310458468</v>
      </c>
      <c r="J32" s="49">
        <f t="shared" si="6"/>
        <v>0.18953843310458468</v>
      </c>
      <c r="K32" s="49">
        <f t="shared" si="6"/>
        <v>0.25174754471992089</v>
      </c>
      <c r="L32" s="49">
        <f t="shared" si="6"/>
        <v>2.9474177752526934E-2</v>
      </c>
      <c r="M32" s="49">
        <f t="shared" si="6"/>
        <v>2.9474177752526934E-2</v>
      </c>
      <c r="N32" s="49">
        <f t="shared" si="6"/>
        <v>2.9474177752526934E-2</v>
      </c>
      <c r="O32" s="49">
        <f t="shared" si="6"/>
        <v>2.9474177752526934E-2</v>
      </c>
      <c r="P32" s="49">
        <f t="shared" si="6"/>
        <v>0.22557802783492317</v>
      </c>
    </row>
    <row r="33" spans="1:16" x14ac:dyDescent="0.2">
      <c r="A33" s="39"/>
      <c r="B33" s="395" t="s">
        <v>73</v>
      </c>
      <c r="C33" s="395"/>
      <c r="D33" s="53"/>
      <c r="E33" s="402"/>
      <c r="F33" s="403"/>
      <c r="G33" s="404"/>
      <c r="H33" s="49">
        <f>H32</f>
        <v>2.5700850225879094E-2</v>
      </c>
      <c r="I33" s="49">
        <f t="shared" ref="I33:K33" si="7">H33+I32</f>
        <v>0.21523928333046377</v>
      </c>
      <c r="J33" s="49">
        <f t="shared" si="7"/>
        <v>0.40477771643504845</v>
      </c>
      <c r="K33" s="49">
        <f t="shared" si="7"/>
        <v>0.65652526115496934</v>
      </c>
      <c r="L33" s="49">
        <f t="shared" ref="L33" si="8">K33+L32</f>
        <v>0.68599943890749626</v>
      </c>
      <c r="M33" s="49">
        <f t="shared" ref="M33" si="9">L33+M32</f>
        <v>0.71547361666002318</v>
      </c>
      <c r="N33" s="49">
        <f t="shared" ref="N33" si="10">M33+N32</f>
        <v>0.7449477944125501</v>
      </c>
      <c r="O33" s="49">
        <f t="shared" ref="O33" si="11">N33+O32</f>
        <v>0.77442197216507702</v>
      </c>
      <c r="P33" s="66">
        <f t="shared" ref="P33" si="12">O33+P32</f>
        <v>1.0000000000000002</v>
      </c>
    </row>
    <row r="34" spans="1:16" x14ac:dyDescent="0.2">
      <c r="A34" s="56"/>
      <c r="B34" s="56"/>
      <c r="C34" s="56"/>
      <c r="D34" s="57"/>
      <c r="E34" s="57"/>
      <c r="F34" s="57"/>
      <c r="G34" s="57"/>
      <c r="H34" s="56"/>
      <c r="I34" s="56"/>
      <c r="J34" s="56"/>
      <c r="K34" s="56"/>
    </row>
    <row r="35" spans="1:16" x14ac:dyDescent="0.2">
      <c r="A35" s="389" t="str">
        <f>PLANILHA!A67</f>
        <v>Vargem Alta/ES, 03 de Novembro de 2021.</v>
      </c>
      <c r="B35" s="389"/>
      <c r="C35" s="389"/>
      <c r="D35" s="389"/>
      <c r="E35" s="389"/>
      <c r="F35" s="389"/>
      <c r="G35" s="389"/>
      <c r="H35" s="389"/>
      <c r="I35" s="58"/>
      <c r="J35" s="58"/>
      <c r="K35" s="58"/>
    </row>
    <row r="36" spans="1:16" x14ac:dyDescent="0.2">
      <c r="A36" s="59"/>
      <c r="B36" s="60"/>
      <c r="C36" s="60"/>
      <c r="D36" s="61"/>
      <c r="E36" s="61"/>
      <c r="F36" s="61"/>
      <c r="G36" s="61"/>
      <c r="H36" s="60"/>
      <c r="I36" s="60"/>
      <c r="J36" s="60"/>
      <c r="K36" s="60"/>
    </row>
    <row r="37" spans="1:16" x14ac:dyDescent="0.2">
      <c r="A37" s="59"/>
      <c r="B37" s="60"/>
      <c r="C37" s="60"/>
      <c r="D37" s="61"/>
      <c r="E37" s="61"/>
      <c r="F37" s="61"/>
      <c r="G37" s="61"/>
      <c r="H37" s="60"/>
      <c r="I37" s="60"/>
      <c r="J37" s="60"/>
      <c r="K37" s="60"/>
    </row>
    <row r="38" spans="1:16" x14ac:dyDescent="0.2">
      <c r="A38" s="59"/>
      <c r="B38" s="119"/>
      <c r="C38" s="119"/>
      <c r="D38" s="120"/>
      <c r="E38" s="61"/>
      <c r="F38" s="61"/>
      <c r="G38" s="61"/>
      <c r="H38" s="60"/>
      <c r="I38" s="390"/>
      <c r="J38" s="390"/>
      <c r="K38" s="390"/>
    </row>
    <row r="39" spans="1:16" x14ac:dyDescent="0.2">
      <c r="A39" s="59"/>
      <c r="B39" s="393" t="s">
        <v>50</v>
      </c>
      <c r="C39" s="393"/>
      <c r="D39" s="393"/>
      <c r="E39" s="165"/>
      <c r="F39" s="165"/>
      <c r="G39" s="165"/>
      <c r="H39" s="61"/>
      <c r="I39" s="391" t="s">
        <v>202</v>
      </c>
      <c r="J39" s="391"/>
      <c r="K39" s="391"/>
    </row>
    <row r="40" spans="1:16" x14ac:dyDescent="0.2">
      <c r="A40" s="38"/>
      <c r="B40" s="394" t="s">
        <v>61</v>
      </c>
      <c r="C40" s="394"/>
      <c r="D40" s="394"/>
      <c r="E40" s="165"/>
      <c r="F40" s="165"/>
      <c r="G40" s="165"/>
      <c r="H40" s="61"/>
      <c r="I40" s="392" t="s">
        <v>60</v>
      </c>
      <c r="J40" s="392"/>
      <c r="K40" s="392"/>
    </row>
  </sheetData>
  <mergeCells count="35">
    <mergeCell ref="A35:H35"/>
    <mergeCell ref="A26:A28"/>
    <mergeCell ref="I38:K38"/>
    <mergeCell ref="I39:K39"/>
    <mergeCell ref="I40:K40"/>
    <mergeCell ref="B26:C28"/>
    <mergeCell ref="B39:D39"/>
    <mergeCell ref="B40:D40"/>
    <mergeCell ref="B29:C29"/>
    <mergeCell ref="B30:C30"/>
    <mergeCell ref="B31:C31"/>
    <mergeCell ref="B32:C32"/>
    <mergeCell ref="B33:C33"/>
    <mergeCell ref="E8:G33"/>
    <mergeCell ref="A17:A19"/>
    <mergeCell ref="B17:C19"/>
    <mergeCell ref="B23:C25"/>
    <mergeCell ref="A23:A25"/>
    <mergeCell ref="A8:A10"/>
    <mergeCell ref="B8:C10"/>
    <mergeCell ref="A11:A13"/>
    <mergeCell ref="B11:C13"/>
    <mergeCell ref="A14:A16"/>
    <mergeCell ref="B14:C16"/>
    <mergeCell ref="B20:C22"/>
    <mergeCell ref="A20:A22"/>
    <mergeCell ref="B4:P4"/>
    <mergeCell ref="B3:P3"/>
    <mergeCell ref="A2:P2"/>
    <mergeCell ref="A1:P1"/>
    <mergeCell ref="A6:A7"/>
    <mergeCell ref="B6:C7"/>
    <mergeCell ref="D6:D7"/>
    <mergeCell ref="A5:P5"/>
    <mergeCell ref="E6:P6"/>
  </mergeCells>
  <phoneticPr fontId="34" type="noConversion"/>
  <pageMargins left="0.70866141732283472" right="0.70866141732283472" top="0.74803149606299213" bottom="0.74803149606299213" header="0.31496062992125984" footer="0.31496062992125984"/>
  <pageSetup paperSize="9" scale="87"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4FB55-3B5A-4EE7-BB34-B5AE91BE2C42}">
  <dimension ref="A1:K180"/>
  <sheetViews>
    <sheetView view="pageBreakPreview" zoomScaleNormal="115" zoomScaleSheetLayoutView="100" workbookViewId="0">
      <selection activeCell="A16" sqref="A16"/>
    </sheetView>
  </sheetViews>
  <sheetFormatPr defaultRowHeight="12.75" x14ac:dyDescent="0.2"/>
  <cols>
    <col min="1" max="3" width="9.140625" style="71"/>
    <col min="4" max="4" width="9.7109375" style="71" customWidth="1"/>
    <col min="5" max="6" width="9.140625" style="71"/>
    <col min="7" max="7" width="9.42578125" style="71" customWidth="1"/>
    <col min="8" max="8" width="12.28515625" style="71" customWidth="1"/>
    <col min="9" max="9" width="12.5703125" style="71" customWidth="1"/>
    <col min="10" max="10" width="13.28515625" style="71" bestFit="1" customWidth="1"/>
    <col min="11" max="16384" width="9.140625" style="71"/>
  </cols>
  <sheetData>
    <row r="1" spans="1:11" ht="23.25" customHeight="1" x14ac:dyDescent="0.2">
      <c r="A1" s="414" t="s">
        <v>26</v>
      </c>
      <c r="B1" s="415"/>
      <c r="C1" s="415"/>
      <c r="D1" s="415"/>
      <c r="E1" s="415"/>
      <c r="F1" s="415"/>
      <c r="G1" s="415"/>
      <c r="H1" s="415"/>
      <c r="I1" s="415"/>
      <c r="J1" s="415"/>
      <c r="K1" s="416"/>
    </row>
    <row r="2" spans="1:11" ht="18.75" customHeight="1" x14ac:dyDescent="0.2">
      <c r="A2" s="417"/>
      <c r="B2" s="418"/>
      <c r="C2" s="418"/>
      <c r="D2" s="418"/>
      <c r="E2" s="418"/>
      <c r="F2" s="418"/>
      <c r="G2" s="418"/>
      <c r="H2" s="418"/>
      <c r="I2" s="418"/>
      <c r="J2" s="418"/>
      <c r="K2" s="419"/>
    </row>
    <row r="3" spans="1:11" ht="15.75" x14ac:dyDescent="0.2">
      <c r="A3" s="420" t="s">
        <v>27</v>
      </c>
      <c r="B3" s="420"/>
      <c r="C3" s="420"/>
      <c r="D3" s="420"/>
      <c r="E3" s="420"/>
      <c r="F3" s="420"/>
      <c r="G3" s="420"/>
      <c r="H3" s="420"/>
      <c r="I3" s="420"/>
      <c r="J3" s="420"/>
      <c r="K3" s="421"/>
    </row>
    <row r="4" spans="1:11" x14ac:dyDescent="0.2">
      <c r="A4" s="406"/>
      <c r="B4" s="406"/>
      <c r="C4" s="406"/>
      <c r="D4" s="406"/>
      <c r="E4" s="406"/>
      <c r="F4" s="406"/>
      <c r="G4" s="406"/>
      <c r="H4" s="406"/>
      <c r="I4" s="406"/>
      <c r="J4" s="406"/>
      <c r="K4" s="406"/>
    </row>
    <row r="5" spans="1:11" ht="12.75" customHeight="1" x14ac:dyDescent="0.2">
      <c r="A5" s="93" t="s">
        <v>2</v>
      </c>
      <c r="B5" s="422" t="str">
        <f>PLANILHA!B3</f>
        <v>CONSTRUÇÃO DE ESTAÇÃO DE TRATAMENTO DE ÁGUA DE CASTELINHO</v>
      </c>
      <c r="C5" s="423"/>
      <c r="D5" s="423"/>
      <c r="E5" s="423"/>
      <c r="F5" s="423"/>
      <c r="G5" s="423"/>
      <c r="H5" s="423"/>
      <c r="I5" s="423"/>
      <c r="J5" s="423"/>
      <c r="K5" s="424"/>
    </row>
    <row r="6" spans="1:11" x14ac:dyDescent="0.2">
      <c r="A6" s="94" t="s">
        <v>3</v>
      </c>
      <c r="B6" s="422" t="str">
        <f>PLANILHA!B4</f>
        <v>CASTELINHO- VARGEM ALTA - ES</v>
      </c>
      <c r="C6" s="423"/>
      <c r="D6" s="423"/>
      <c r="E6" s="423"/>
      <c r="F6" s="423"/>
      <c r="G6" s="423"/>
      <c r="H6" s="423"/>
      <c r="I6" s="423"/>
      <c r="J6" s="423"/>
      <c r="K6" s="424"/>
    </row>
    <row r="7" spans="1:11" x14ac:dyDescent="0.2">
      <c r="A7" s="425"/>
      <c r="B7" s="426"/>
      <c r="C7" s="426"/>
      <c r="D7" s="426"/>
      <c r="E7" s="426"/>
      <c r="F7" s="426"/>
      <c r="G7" s="426"/>
      <c r="H7" s="426"/>
      <c r="I7" s="426"/>
      <c r="J7" s="426"/>
      <c r="K7" s="427"/>
    </row>
    <row r="8" spans="1:11" ht="15.75" x14ac:dyDescent="0.2">
      <c r="A8" s="405" t="s">
        <v>126</v>
      </c>
      <c r="B8" s="405"/>
      <c r="C8" s="405"/>
      <c r="D8" s="405"/>
      <c r="E8" s="405"/>
      <c r="F8" s="405"/>
      <c r="G8" s="405"/>
      <c r="H8" s="405"/>
      <c r="I8" s="405"/>
      <c r="J8" s="405"/>
      <c r="K8" s="405"/>
    </row>
    <row r="9" spans="1:11" x14ac:dyDescent="0.2">
      <c r="A9" s="406"/>
      <c r="B9" s="406"/>
      <c r="C9" s="406"/>
      <c r="D9" s="406"/>
      <c r="E9" s="406"/>
      <c r="F9" s="406"/>
      <c r="G9" s="406"/>
      <c r="H9" s="406"/>
      <c r="I9" s="406"/>
      <c r="J9" s="406"/>
    </row>
    <row r="10" spans="1:11" x14ac:dyDescent="0.2">
      <c r="A10" s="407" t="s">
        <v>140</v>
      </c>
      <c r="B10" s="408"/>
      <c r="C10" s="408"/>
      <c r="D10" s="408"/>
      <c r="E10" s="408"/>
      <c r="F10" s="408"/>
      <c r="G10" s="408"/>
      <c r="H10" s="408"/>
      <c r="I10" s="408"/>
      <c r="J10" s="408"/>
      <c r="K10" s="409"/>
    </row>
    <row r="11" spans="1:11" ht="14.25" customHeight="1" x14ac:dyDescent="0.2">
      <c r="B11" s="406"/>
      <c r="C11" s="406"/>
      <c r="D11" s="406"/>
      <c r="E11" s="406"/>
      <c r="F11" s="406"/>
      <c r="G11" s="406"/>
      <c r="H11" s="406"/>
      <c r="I11" s="406"/>
      <c r="J11" s="406"/>
      <c r="K11" s="406"/>
    </row>
    <row r="12" spans="1:11" x14ac:dyDescent="0.2">
      <c r="A12" s="95" t="s">
        <v>28</v>
      </c>
      <c r="B12" s="410" t="s">
        <v>226</v>
      </c>
      <c r="C12" s="410"/>
      <c r="D12" s="410"/>
      <c r="E12" s="410"/>
      <c r="F12" s="410"/>
      <c r="G12" s="410"/>
      <c r="H12" s="410"/>
      <c r="I12" s="410"/>
      <c r="J12" s="411"/>
      <c r="K12" s="96" t="s">
        <v>30</v>
      </c>
    </row>
    <row r="13" spans="1:11" x14ac:dyDescent="0.2">
      <c r="A13" s="97" t="s">
        <v>100</v>
      </c>
      <c r="B13" s="412" t="s">
        <v>185</v>
      </c>
      <c r="C13" s="413"/>
      <c r="D13" s="413"/>
      <c r="E13" s="413"/>
      <c r="F13" s="413"/>
      <c r="G13" s="413"/>
      <c r="H13" s="413"/>
      <c r="I13" s="413"/>
      <c r="J13" s="413"/>
      <c r="K13" s="98" t="s">
        <v>38</v>
      </c>
    </row>
    <row r="14" spans="1:11" x14ac:dyDescent="0.2">
      <c r="B14" s="437"/>
      <c r="C14" s="437"/>
      <c r="D14" s="437"/>
      <c r="E14" s="437"/>
      <c r="F14" s="437"/>
      <c r="G14" s="437"/>
      <c r="H14" s="437"/>
      <c r="I14" s="437"/>
      <c r="J14" s="437"/>
      <c r="K14" s="435"/>
    </row>
    <row r="15" spans="1:11" x14ac:dyDescent="0.2">
      <c r="A15" s="179" t="s">
        <v>88</v>
      </c>
      <c r="B15" s="181" t="s">
        <v>31</v>
      </c>
      <c r="C15" s="182"/>
      <c r="D15" s="180" t="s">
        <v>148</v>
      </c>
      <c r="E15" s="180" t="s">
        <v>32</v>
      </c>
      <c r="F15" s="438" t="s">
        <v>144</v>
      </c>
      <c r="G15" s="438"/>
      <c r="H15" s="180" t="s">
        <v>145</v>
      </c>
      <c r="I15" s="180" t="s">
        <v>146</v>
      </c>
      <c r="J15" s="103" t="s">
        <v>147</v>
      </c>
      <c r="K15" s="177" t="s">
        <v>47</v>
      </c>
    </row>
    <row r="16" spans="1:11" ht="15.75" customHeight="1" x14ac:dyDescent="0.2">
      <c r="A16" s="105">
        <v>20109</v>
      </c>
      <c r="B16" s="475" t="s">
        <v>142</v>
      </c>
      <c r="C16" s="476"/>
      <c r="D16" s="186">
        <v>1.24</v>
      </c>
      <c r="E16" s="109" t="s">
        <v>37</v>
      </c>
      <c r="F16" s="477">
        <v>0.5</v>
      </c>
      <c r="G16" s="478"/>
      <c r="H16" s="185">
        <v>1.5727</v>
      </c>
      <c r="I16" s="178">
        <v>5.83</v>
      </c>
      <c r="J16" s="106">
        <f t="shared" ref="J16:J17" si="0">((I16*H16)+I16)</f>
        <v>14.998841000000001</v>
      </c>
      <c r="K16" s="107">
        <f t="shared" ref="K16:K17" si="1">J16*F16</f>
        <v>7.4994205000000003</v>
      </c>
    </row>
    <row r="17" spans="1:11" ht="15.75" customHeight="1" x14ac:dyDescent="0.2">
      <c r="A17" s="108">
        <v>20002</v>
      </c>
      <c r="B17" s="475" t="s">
        <v>143</v>
      </c>
      <c r="C17" s="476"/>
      <c r="D17" s="186">
        <v>1</v>
      </c>
      <c r="E17" s="109" t="s">
        <v>37</v>
      </c>
      <c r="F17" s="439">
        <v>1</v>
      </c>
      <c r="G17" s="439"/>
      <c r="H17" s="185">
        <v>1.5727</v>
      </c>
      <c r="I17" s="178">
        <v>4.7</v>
      </c>
      <c r="J17" s="106">
        <f t="shared" si="0"/>
        <v>12.09169</v>
      </c>
      <c r="K17" s="107">
        <f t="shared" si="1"/>
        <v>12.09169</v>
      </c>
    </row>
    <row r="18" spans="1:11" x14ac:dyDescent="0.2">
      <c r="A18" s="428" t="s">
        <v>36</v>
      </c>
      <c r="B18" s="429"/>
      <c r="C18" s="429"/>
      <c r="D18" s="430"/>
      <c r="E18" s="431"/>
      <c r="F18" s="432"/>
      <c r="G18" s="432"/>
      <c r="H18" s="432"/>
      <c r="I18" s="432"/>
      <c r="J18" s="433"/>
      <c r="K18" s="112">
        <f>SUM(K16:K17)</f>
        <v>19.591110499999999</v>
      </c>
    </row>
    <row r="19" spans="1:11" x14ac:dyDescent="0.2">
      <c r="A19" s="174"/>
      <c r="B19" s="174"/>
      <c r="C19" s="174"/>
      <c r="D19" s="174"/>
      <c r="E19" s="175"/>
      <c r="F19" s="175"/>
      <c r="G19" s="175"/>
      <c r="H19" s="175"/>
      <c r="I19" s="175"/>
      <c r="J19" s="175"/>
      <c r="K19" s="27"/>
    </row>
    <row r="20" spans="1:11" x14ac:dyDescent="0.2">
      <c r="A20" s="179" t="s">
        <v>88</v>
      </c>
      <c r="B20" s="181" t="s">
        <v>149</v>
      </c>
      <c r="C20" s="182"/>
      <c r="D20" s="180" t="s">
        <v>151</v>
      </c>
      <c r="E20" s="180" t="s">
        <v>62</v>
      </c>
      <c r="F20" s="438" t="s">
        <v>152</v>
      </c>
      <c r="G20" s="438"/>
      <c r="H20" s="180"/>
      <c r="I20" s="180"/>
      <c r="J20" s="103"/>
      <c r="K20" s="177" t="s">
        <v>154</v>
      </c>
    </row>
    <row r="21" spans="1:11" ht="12.75" customHeight="1" x14ac:dyDescent="0.2">
      <c r="A21" s="431" t="s">
        <v>150</v>
      </c>
      <c r="B21" s="432"/>
      <c r="C21" s="433"/>
      <c r="D21" s="189">
        <v>2000</v>
      </c>
      <c r="E21" s="188">
        <v>0.05</v>
      </c>
      <c r="F21" s="436" t="s">
        <v>153</v>
      </c>
      <c r="G21" s="436"/>
      <c r="H21" s="185"/>
      <c r="I21" s="178"/>
      <c r="J21" s="106"/>
      <c r="K21" s="107">
        <f>K18*E21</f>
        <v>0.97955552499999998</v>
      </c>
    </row>
    <row r="22" spans="1:11" x14ac:dyDescent="0.2">
      <c r="A22" s="428" t="s">
        <v>155</v>
      </c>
      <c r="B22" s="429"/>
      <c r="C22" s="429"/>
      <c r="D22" s="430"/>
      <c r="E22" s="431"/>
      <c r="F22" s="432"/>
      <c r="G22" s="432"/>
      <c r="H22" s="432"/>
      <c r="I22" s="432"/>
      <c r="J22" s="433"/>
      <c r="K22" s="112">
        <f>SUM(K21:K21)</f>
        <v>0.97955552499999998</v>
      </c>
    </row>
    <row r="23" spans="1:11" x14ac:dyDescent="0.2">
      <c r="A23" s="174"/>
      <c r="B23" s="174"/>
      <c r="C23" s="174"/>
      <c r="D23" s="174"/>
      <c r="E23" s="175"/>
      <c r="F23" s="175"/>
      <c r="G23" s="175"/>
      <c r="H23" s="175"/>
      <c r="I23" s="175"/>
      <c r="J23" s="175"/>
      <c r="K23" s="27"/>
    </row>
    <row r="24" spans="1:11" x14ac:dyDescent="0.2">
      <c r="A24" s="179" t="s">
        <v>88</v>
      </c>
      <c r="B24" s="440" t="s">
        <v>157</v>
      </c>
      <c r="C24" s="441"/>
      <c r="D24" s="442"/>
      <c r="E24" s="180" t="s">
        <v>32</v>
      </c>
      <c r="F24" s="438" t="s">
        <v>159</v>
      </c>
      <c r="G24" s="438"/>
      <c r="H24" s="431" t="s">
        <v>144</v>
      </c>
      <c r="I24" s="433"/>
      <c r="J24" s="431" t="s">
        <v>160</v>
      </c>
      <c r="K24" s="433"/>
    </row>
    <row r="25" spans="1:11" ht="22.5" customHeight="1" x14ac:dyDescent="0.2">
      <c r="A25" s="105">
        <v>10214</v>
      </c>
      <c r="B25" s="443" t="s">
        <v>158</v>
      </c>
      <c r="C25" s="444"/>
      <c r="D25" s="445"/>
      <c r="E25" s="180" t="s">
        <v>141</v>
      </c>
      <c r="F25" s="436">
        <v>33.65</v>
      </c>
      <c r="G25" s="436"/>
      <c r="H25" s="448">
        <v>1</v>
      </c>
      <c r="I25" s="449"/>
      <c r="J25" s="448">
        <f>F25*H25</f>
        <v>33.65</v>
      </c>
      <c r="K25" s="449"/>
    </row>
    <row r="26" spans="1:11" x14ac:dyDescent="0.2">
      <c r="A26" s="428" t="s">
        <v>156</v>
      </c>
      <c r="B26" s="429"/>
      <c r="C26" s="429"/>
      <c r="D26" s="430"/>
      <c r="E26" s="431"/>
      <c r="F26" s="432"/>
      <c r="G26" s="432"/>
      <c r="H26" s="432"/>
      <c r="I26" s="432"/>
      <c r="J26" s="433"/>
      <c r="K26" s="112">
        <f>J25</f>
        <v>33.65</v>
      </c>
    </row>
    <row r="27" spans="1:11" x14ac:dyDescent="0.2">
      <c r="A27" s="174"/>
      <c r="B27" s="174"/>
      <c r="C27" s="174"/>
      <c r="D27" s="174"/>
      <c r="E27" s="175"/>
      <c r="F27" s="175"/>
      <c r="G27" s="175"/>
      <c r="H27" s="175"/>
      <c r="I27" s="175"/>
      <c r="J27" s="175"/>
      <c r="K27" s="27"/>
    </row>
    <row r="28" spans="1:11" x14ac:dyDescent="0.2">
      <c r="A28" s="179" t="s">
        <v>88</v>
      </c>
      <c r="B28" s="440" t="s">
        <v>171</v>
      </c>
      <c r="C28" s="441"/>
      <c r="D28" s="442"/>
      <c r="E28" s="180" t="s">
        <v>32</v>
      </c>
      <c r="F28" s="438" t="s">
        <v>159</v>
      </c>
      <c r="G28" s="438"/>
      <c r="H28" s="431" t="s">
        <v>144</v>
      </c>
      <c r="I28" s="433"/>
      <c r="J28" s="431" t="s">
        <v>160</v>
      </c>
      <c r="K28" s="433"/>
    </row>
    <row r="29" spans="1:11" ht="24.75" customHeight="1" x14ac:dyDescent="0.2">
      <c r="A29" s="187">
        <v>40348</v>
      </c>
      <c r="B29" s="443" t="s">
        <v>162</v>
      </c>
      <c r="C29" s="444"/>
      <c r="D29" s="445"/>
      <c r="E29" s="180" t="s">
        <v>161</v>
      </c>
      <c r="F29" s="436">
        <v>338</v>
      </c>
      <c r="G29" s="436"/>
      <c r="H29" s="446">
        <v>3.0000000000000001E-3</v>
      </c>
      <c r="I29" s="447"/>
      <c r="J29" s="448">
        <f>ROUND(F29*H29,2)</f>
        <v>1.01</v>
      </c>
      <c r="K29" s="449"/>
    </row>
    <row r="30" spans="1:11" ht="24.75" customHeight="1" x14ac:dyDescent="0.2">
      <c r="A30" s="187">
        <v>40258</v>
      </c>
      <c r="B30" s="443" t="s">
        <v>163</v>
      </c>
      <c r="C30" s="444"/>
      <c r="D30" s="445"/>
      <c r="E30" s="180" t="s">
        <v>161</v>
      </c>
      <c r="F30" s="436">
        <v>48.53</v>
      </c>
      <c r="G30" s="436"/>
      <c r="H30" s="446">
        <v>0.06</v>
      </c>
      <c r="I30" s="447"/>
      <c r="J30" s="448">
        <f t="shared" ref="J30:J32" si="2">ROUND(F30*H30,2)</f>
        <v>2.91</v>
      </c>
      <c r="K30" s="449"/>
    </row>
    <row r="31" spans="1:11" ht="24" customHeight="1" x14ac:dyDescent="0.2">
      <c r="A31" s="187">
        <v>40282</v>
      </c>
      <c r="B31" s="443" t="s">
        <v>164</v>
      </c>
      <c r="C31" s="444"/>
      <c r="D31" s="445"/>
      <c r="E31" s="180" t="s">
        <v>161</v>
      </c>
      <c r="F31" s="436">
        <v>9.82</v>
      </c>
      <c r="G31" s="436"/>
      <c r="H31" s="446">
        <v>0.93700000000000006</v>
      </c>
      <c r="I31" s="447"/>
      <c r="J31" s="448">
        <f t="shared" si="2"/>
        <v>9.1999999999999993</v>
      </c>
      <c r="K31" s="449"/>
    </row>
    <row r="32" spans="1:11" ht="24" customHeight="1" x14ac:dyDescent="0.2">
      <c r="A32" s="105">
        <v>40303</v>
      </c>
      <c r="B32" s="443" t="s">
        <v>165</v>
      </c>
      <c r="C32" s="444"/>
      <c r="D32" s="445"/>
      <c r="E32" s="180" t="s">
        <v>161</v>
      </c>
      <c r="F32" s="436">
        <v>32.270000000000003</v>
      </c>
      <c r="G32" s="436"/>
      <c r="H32" s="446">
        <v>0.84299999999999997</v>
      </c>
      <c r="I32" s="447"/>
      <c r="J32" s="448">
        <f t="shared" si="2"/>
        <v>27.2</v>
      </c>
      <c r="K32" s="449"/>
    </row>
    <row r="33" spans="1:11" x14ac:dyDescent="0.2">
      <c r="A33" s="428" t="s">
        <v>156</v>
      </c>
      <c r="B33" s="429"/>
      <c r="C33" s="429"/>
      <c r="D33" s="430"/>
      <c r="E33" s="431"/>
      <c r="F33" s="432"/>
      <c r="G33" s="432"/>
      <c r="H33" s="432"/>
      <c r="I33" s="432"/>
      <c r="J33" s="433"/>
      <c r="K33" s="112">
        <f>SUM(J29:K32)</f>
        <v>40.32</v>
      </c>
    </row>
    <row r="34" spans="1:11" ht="14.25" customHeight="1" x14ac:dyDescent="0.2">
      <c r="B34" s="434"/>
      <c r="C34" s="434"/>
      <c r="D34" s="434"/>
      <c r="E34" s="175"/>
      <c r="F34" s="435"/>
      <c r="G34" s="435"/>
      <c r="H34" s="175"/>
      <c r="I34" s="175"/>
      <c r="J34" s="435"/>
      <c r="K34" s="435"/>
    </row>
    <row r="35" spans="1:11" ht="26.25" customHeight="1" x14ac:dyDescent="0.2">
      <c r="A35" s="452" t="s">
        <v>39</v>
      </c>
      <c r="B35" s="453"/>
      <c r="C35" s="453"/>
      <c r="D35" s="453"/>
      <c r="E35" s="453"/>
      <c r="F35" s="453"/>
      <c r="G35" s="453"/>
      <c r="H35" s="453"/>
      <c r="I35" s="453"/>
      <c r="J35" s="453"/>
      <c r="K35" s="454"/>
    </row>
    <row r="36" spans="1:11" ht="27" customHeight="1" x14ac:dyDescent="0.2">
      <c r="A36" s="452" t="s">
        <v>40</v>
      </c>
      <c r="B36" s="453"/>
      <c r="C36" s="453"/>
      <c r="D36" s="453"/>
      <c r="E36" s="454"/>
      <c r="F36" s="455" t="s">
        <v>41</v>
      </c>
      <c r="G36" s="455"/>
      <c r="H36" s="455"/>
      <c r="I36" s="455" t="s">
        <v>42</v>
      </c>
      <c r="J36" s="455"/>
      <c r="K36" s="455"/>
    </row>
    <row r="37" spans="1:11" ht="26.25" customHeight="1" x14ac:dyDescent="0.2">
      <c r="A37" s="440" t="s">
        <v>43</v>
      </c>
      <c r="B37" s="441"/>
      <c r="C37" s="441"/>
      <c r="D37" s="441"/>
      <c r="E37" s="442"/>
      <c r="F37" s="450"/>
      <c r="G37" s="438"/>
      <c r="H37" s="438"/>
      <c r="I37" s="451">
        <f>K18</f>
        <v>19.591110499999999</v>
      </c>
      <c r="J37" s="451"/>
      <c r="K37" s="451"/>
    </row>
    <row r="38" spans="1:11" x14ac:dyDescent="0.2">
      <c r="A38" s="440" t="s">
        <v>166</v>
      </c>
      <c r="B38" s="441"/>
      <c r="C38" s="441"/>
      <c r="D38" s="441"/>
      <c r="E38" s="442"/>
      <c r="F38" s="450"/>
      <c r="G38" s="438"/>
      <c r="H38" s="438"/>
      <c r="I38" s="451">
        <f>K22</f>
        <v>0.97955552499999998</v>
      </c>
      <c r="J38" s="451"/>
      <c r="K38" s="451"/>
    </row>
    <row r="39" spans="1:11" ht="27.75" customHeight="1" x14ac:dyDescent="0.2">
      <c r="A39" s="440" t="s">
        <v>167</v>
      </c>
      <c r="B39" s="441"/>
      <c r="C39" s="441"/>
      <c r="D39" s="441"/>
      <c r="E39" s="442"/>
      <c r="F39" s="450"/>
      <c r="G39" s="438"/>
      <c r="H39" s="438"/>
      <c r="I39" s="451">
        <f>K26</f>
        <v>33.65</v>
      </c>
      <c r="J39" s="451"/>
      <c r="K39" s="451"/>
    </row>
    <row r="40" spans="1:11" ht="28.5" customHeight="1" x14ac:dyDescent="0.2">
      <c r="A40" s="440" t="s">
        <v>168</v>
      </c>
      <c r="B40" s="441"/>
      <c r="C40" s="441"/>
      <c r="D40" s="441"/>
      <c r="E40" s="442"/>
      <c r="F40" s="464"/>
      <c r="G40" s="464"/>
      <c r="H40" s="464"/>
      <c r="I40" s="451">
        <f>K33</f>
        <v>40.32</v>
      </c>
      <c r="J40" s="451"/>
      <c r="K40" s="451"/>
    </row>
    <row r="41" spans="1:11" x14ac:dyDescent="0.2">
      <c r="A41" s="465" t="s">
        <v>46</v>
      </c>
      <c r="B41" s="466"/>
      <c r="C41" s="466"/>
      <c r="D41" s="466"/>
      <c r="E41" s="467"/>
      <c r="F41" s="438"/>
      <c r="G41" s="438"/>
      <c r="H41" s="438"/>
      <c r="I41" s="463">
        <f>I37+I38+I39+I40</f>
        <v>94.540666025000007</v>
      </c>
      <c r="J41" s="463"/>
      <c r="K41" s="463"/>
    </row>
    <row r="42" spans="1:11" x14ac:dyDescent="0.2">
      <c r="A42" s="456"/>
      <c r="B42" s="457"/>
      <c r="C42" s="457"/>
      <c r="D42" s="457"/>
      <c r="E42" s="458"/>
      <c r="F42" s="459"/>
      <c r="G42" s="460"/>
      <c r="H42" s="461"/>
      <c r="I42" s="448"/>
      <c r="J42" s="462"/>
      <c r="K42" s="449"/>
    </row>
    <row r="43" spans="1:11" ht="26.25" customHeight="1" x14ac:dyDescent="0.2">
      <c r="A43" s="428" t="s">
        <v>47</v>
      </c>
      <c r="B43" s="429"/>
      <c r="C43" s="429"/>
      <c r="D43" s="429"/>
      <c r="E43" s="430"/>
      <c r="F43" s="438"/>
      <c r="G43" s="438"/>
      <c r="H43" s="438"/>
      <c r="I43" s="463">
        <f>I41+I42</f>
        <v>94.540666025000007</v>
      </c>
      <c r="J43" s="463"/>
      <c r="K43" s="463"/>
    </row>
    <row r="44" spans="1:11" x14ac:dyDescent="0.2">
      <c r="A44" s="471" t="s">
        <v>48</v>
      </c>
      <c r="B44" s="472"/>
      <c r="C44" s="472"/>
      <c r="D44" s="472"/>
      <c r="E44" s="473"/>
      <c r="F44" s="464">
        <v>0.34520000000000001</v>
      </c>
      <c r="G44" s="464"/>
      <c r="H44" s="464"/>
      <c r="I44" s="451">
        <f>F44*I43</f>
        <v>32.635437911830003</v>
      </c>
      <c r="J44" s="451"/>
      <c r="K44" s="451"/>
    </row>
    <row r="45" spans="1:11" ht="24.75" customHeight="1" x14ac:dyDescent="0.2">
      <c r="A45" s="452" t="s">
        <v>49</v>
      </c>
      <c r="B45" s="453"/>
      <c r="C45" s="453"/>
      <c r="D45" s="453"/>
      <c r="E45" s="454"/>
      <c r="F45" s="474"/>
      <c r="G45" s="474"/>
      <c r="H45" s="474"/>
      <c r="I45" s="463">
        <f>I43+I44</f>
        <v>127.17610393683</v>
      </c>
      <c r="J45" s="463"/>
      <c r="K45" s="463"/>
    </row>
    <row r="46" spans="1:11" ht="24.75" customHeight="1" x14ac:dyDescent="0.2">
      <c r="A46" s="171"/>
      <c r="B46" s="171"/>
      <c r="C46" s="171"/>
      <c r="D46" s="171"/>
      <c r="E46" s="171"/>
      <c r="F46" s="172"/>
      <c r="G46" s="172"/>
      <c r="H46" s="172"/>
      <c r="I46" s="173"/>
      <c r="J46" s="173"/>
      <c r="K46" s="173"/>
    </row>
    <row r="47" spans="1:11" ht="24.75" customHeight="1" x14ac:dyDescent="0.2">
      <c r="A47" s="95" t="s">
        <v>28</v>
      </c>
      <c r="B47" s="410" t="s">
        <v>169</v>
      </c>
      <c r="C47" s="410"/>
      <c r="D47" s="410"/>
      <c r="E47" s="410"/>
      <c r="F47" s="410"/>
      <c r="G47" s="410"/>
      <c r="H47" s="410"/>
      <c r="I47" s="410"/>
      <c r="J47" s="411"/>
      <c r="K47" s="96" t="s">
        <v>30</v>
      </c>
    </row>
    <row r="48" spans="1:11" ht="24.75" customHeight="1" x14ac:dyDescent="0.2">
      <c r="A48" s="97" t="s">
        <v>98</v>
      </c>
      <c r="B48" s="412" t="s">
        <v>101</v>
      </c>
      <c r="C48" s="413"/>
      <c r="D48" s="413"/>
      <c r="E48" s="413"/>
      <c r="F48" s="413"/>
      <c r="G48" s="413"/>
      <c r="H48" s="413"/>
      <c r="I48" s="413"/>
      <c r="J48" s="413"/>
      <c r="K48" s="98" t="s">
        <v>38</v>
      </c>
    </row>
    <row r="49" spans="1:11" ht="24.75" customHeight="1" x14ac:dyDescent="0.2">
      <c r="B49" s="437"/>
      <c r="C49" s="437"/>
      <c r="D49" s="437"/>
      <c r="E49" s="437"/>
      <c r="F49" s="437"/>
      <c r="G49" s="437"/>
      <c r="H49" s="437"/>
      <c r="I49" s="437"/>
      <c r="J49" s="437"/>
      <c r="K49" s="435"/>
    </row>
    <row r="50" spans="1:11" ht="24.75" customHeight="1" x14ac:dyDescent="0.2">
      <c r="A50" s="179" t="s">
        <v>88</v>
      </c>
      <c r="B50" s="181" t="s">
        <v>31</v>
      </c>
      <c r="C50" s="182"/>
      <c r="D50" s="180" t="s">
        <v>148</v>
      </c>
      <c r="E50" s="180" t="s">
        <v>32</v>
      </c>
      <c r="F50" s="438" t="s">
        <v>144</v>
      </c>
      <c r="G50" s="438"/>
      <c r="H50" s="180" t="s">
        <v>145</v>
      </c>
      <c r="I50" s="180" t="s">
        <v>146</v>
      </c>
      <c r="J50" s="103" t="s">
        <v>147</v>
      </c>
      <c r="K50" s="177" t="s">
        <v>47</v>
      </c>
    </row>
    <row r="51" spans="1:11" ht="24.75" customHeight="1" x14ac:dyDescent="0.2">
      <c r="A51" s="105">
        <v>20109</v>
      </c>
      <c r="B51" s="475" t="s">
        <v>142</v>
      </c>
      <c r="C51" s="476"/>
      <c r="D51" s="186">
        <v>1.24</v>
      </c>
      <c r="E51" s="109" t="s">
        <v>37</v>
      </c>
      <c r="F51" s="477">
        <v>1</v>
      </c>
      <c r="G51" s="478"/>
      <c r="H51" s="185">
        <v>1.5727</v>
      </c>
      <c r="I51" s="178">
        <v>5.83</v>
      </c>
      <c r="J51" s="106">
        <f t="shared" ref="J51:J52" si="3">((I51*H51)+I51)</f>
        <v>14.998841000000001</v>
      </c>
      <c r="K51" s="107">
        <f t="shared" ref="K51:K52" si="4">J51*F51</f>
        <v>14.998841000000001</v>
      </c>
    </row>
    <row r="52" spans="1:11" ht="24.75" customHeight="1" x14ac:dyDescent="0.2">
      <c r="A52" s="108">
        <v>20002</v>
      </c>
      <c r="B52" s="475" t="s">
        <v>143</v>
      </c>
      <c r="C52" s="476"/>
      <c r="D52" s="186">
        <v>1</v>
      </c>
      <c r="E52" s="109" t="s">
        <v>37</v>
      </c>
      <c r="F52" s="439">
        <v>3</v>
      </c>
      <c r="G52" s="439"/>
      <c r="H52" s="185">
        <v>1.5727</v>
      </c>
      <c r="I52" s="178">
        <v>4.7</v>
      </c>
      <c r="J52" s="106">
        <f t="shared" si="3"/>
        <v>12.09169</v>
      </c>
      <c r="K52" s="107">
        <f t="shared" si="4"/>
        <v>36.275069999999999</v>
      </c>
    </row>
    <row r="53" spans="1:11" ht="24.75" customHeight="1" x14ac:dyDescent="0.2">
      <c r="A53" s="428" t="s">
        <v>36</v>
      </c>
      <c r="B53" s="429"/>
      <c r="C53" s="429"/>
      <c r="D53" s="430"/>
      <c r="E53" s="431"/>
      <c r="F53" s="432"/>
      <c r="G53" s="432"/>
      <c r="H53" s="432"/>
      <c r="I53" s="432"/>
      <c r="J53" s="433"/>
      <c r="K53" s="112">
        <f>SUM(K51:K52)</f>
        <v>51.273910999999998</v>
      </c>
    </row>
    <row r="54" spans="1:11" ht="24.75" customHeight="1" x14ac:dyDescent="0.2">
      <c r="A54" s="174"/>
      <c r="B54" s="174"/>
      <c r="C54" s="174"/>
      <c r="D54" s="174"/>
      <c r="E54" s="175"/>
      <c r="F54" s="175"/>
      <c r="G54" s="175"/>
      <c r="H54" s="175"/>
      <c r="I54" s="175"/>
      <c r="J54" s="175"/>
      <c r="K54" s="27"/>
    </row>
    <row r="55" spans="1:11" ht="24.75" customHeight="1" x14ac:dyDescent="0.2">
      <c r="A55" s="179" t="s">
        <v>88</v>
      </c>
      <c r="B55" s="181" t="s">
        <v>149</v>
      </c>
      <c r="C55" s="182"/>
      <c r="D55" s="180" t="s">
        <v>151</v>
      </c>
      <c r="E55" s="180" t="s">
        <v>62</v>
      </c>
      <c r="F55" s="438" t="s">
        <v>152</v>
      </c>
      <c r="G55" s="438"/>
      <c r="H55" s="180"/>
      <c r="I55" s="180"/>
      <c r="J55" s="103"/>
      <c r="K55" s="177" t="s">
        <v>154</v>
      </c>
    </row>
    <row r="56" spans="1:11" ht="24.75" customHeight="1" x14ac:dyDescent="0.2">
      <c r="A56" s="431" t="s">
        <v>150</v>
      </c>
      <c r="B56" s="432"/>
      <c r="C56" s="433"/>
      <c r="D56" s="189">
        <v>2000</v>
      </c>
      <c r="E56" s="188">
        <v>0.05</v>
      </c>
      <c r="F56" s="436" t="s">
        <v>153</v>
      </c>
      <c r="G56" s="436"/>
      <c r="H56" s="185"/>
      <c r="I56" s="178"/>
      <c r="J56" s="106"/>
      <c r="K56" s="107">
        <f>K53*E56</f>
        <v>2.5636955500000003</v>
      </c>
    </row>
    <row r="57" spans="1:11" ht="24.75" customHeight="1" x14ac:dyDescent="0.2">
      <c r="A57" s="428" t="s">
        <v>155</v>
      </c>
      <c r="B57" s="429"/>
      <c r="C57" s="429"/>
      <c r="D57" s="430"/>
      <c r="E57" s="431"/>
      <c r="F57" s="432"/>
      <c r="G57" s="432"/>
      <c r="H57" s="432"/>
      <c r="I57" s="432"/>
      <c r="J57" s="433"/>
      <c r="K57" s="112">
        <f>SUM(K56:K56)</f>
        <v>2.5636955500000003</v>
      </c>
    </row>
    <row r="58" spans="1:11" ht="24.75" customHeight="1" x14ac:dyDescent="0.2">
      <c r="A58" s="174"/>
      <c r="B58" s="174"/>
      <c r="C58" s="174"/>
      <c r="D58" s="174"/>
      <c r="E58" s="175"/>
      <c r="F58" s="175"/>
      <c r="G58" s="175"/>
      <c r="H58" s="175"/>
      <c r="I58" s="175"/>
      <c r="J58" s="175"/>
      <c r="K58" s="27"/>
    </row>
    <row r="59" spans="1:11" ht="24.75" customHeight="1" x14ac:dyDescent="0.2">
      <c r="A59" s="179" t="s">
        <v>88</v>
      </c>
      <c r="B59" s="440" t="s">
        <v>157</v>
      </c>
      <c r="C59" s="441"/>
      <c r="D59" s="442"/>
      <c r="E59" s="180" t="s">
        <v>32</v>
      </c>
      <c r="F59" s="438" t="s">
        <v>159</v>
      </c>
      <c r="G59" s="438"/>
      <c r="H59" s="431" t="s">
        <v>144</v>
      </c>
      <c r="I59" s="433"/>
      <c r="J59" s="431" t="s">
        <v>160</v>
      </c>
      <c r="K59" s="433"/>
    </row>
    <row r="60" spans="1:11" ht="24.75" customHeight="1" x14ac:dyDescent="0.2">
      <c r="A60" s="105">
        <v>10703</v>
      </c>
      <c r="B60" s="443" t="s">
        <v>170</v>
      </c>
      <c r="C60" s="444"/>
      <c r="D60" s="445"/>
      <c r="E60" s="180" t="s">
        <v>38</v>
      </c>
      <c r="F60" s="436">
        <v>615.57000000000005</v>
      </c>
      <c r="G60" s="436"/>
      <c r="H60" s="448">
        <v>1</v>
      </c>
      <c r="I60" s="449"/>
      <c r="J60" s="448">
        <f>F60*H60</f>
        <v>615.57000000000005</v>
      </c>
      <c r="K60" s="449"/>
    </row>
    <row r="61" spans="1:11" ht="24.75" customHeight="1" x14ac:dyDescent="0.2">
      <c r="A61" s="428" t="s">
        <v>156</v>
      </c>
      <c r="B61" s="429"/>
      <c r="C61" s="429"/>
      <c r="D61" s="430"/>
      <c r="E61" s="431"/>
      <c r="F61" s="432"/>
      <c r="G61" s="432"/>
      <c r="H61" s="432"/>
      <c r="I61" s="432"/>
      <c r="J61" s="433"/>
      <c r="K61" s="112">
        <f>J60</f>
        <v>615.57000000000005</v>
      </c>
    </row>
    <row r="62" spans="1:11" ht="24.75" customHeight="1" x14ac:dyDescent="0.2">
      <c r="A62" s="174"/>
      <c r="B62" s="174"/>
      <c r="C62" s="174"/>
      <c r="D62" s="174"/>
      <c r="E62" s="175"/>
      <c r="F62" s="175"/>
      <c r="G62" s="175"/>
      <c r="H62" s="175"/>
      <c r="I62" s="175"/>
      <c r="J62" s="175"/>
      <c r="K62" s="27"/>
    </row>
    <row r="63" spans="1:11" ht="24.75" customHeight="1" x14ac:dyDescent="0.2">
      <c r="A63" s="179" t="s">
        <v>88</v>
      </c>
      <c r="B63" s="440" t="s">
        <v>172</v>
      </c>
      <c r="C63" s="441"/>
      <c r="D63" s="442"/>
      <c r="E63" s="180" t="s">
        <v>174</v>
      </c>
      <c r="F63" s="103" t="s">
        <v>175</v>
      </c>
      <c r="G63" s="103" t="s">
        <v>176</v>
      </c>
      <c r="H63" s="176" t="s">
        <v>177</v>
      </c>
      <c r="I63" s="176" t="s">
        <v>178</v>
      </c>
      <c r="J63" s="431" t="s">
        <v>160</v>
      </c>
      <c r="K63" s="433"/>
    </row>
    <row r="64" spans="1:11" ht="24.75" customHeight="1" x14ac:dyDescent="0.2">
      <c r="A64" s="187">
        <v>30005</v>
      </c>
      <c r="B64" s="443" t="s">
        <v>173</v>
      </c>
      <c r="C64" s="444"/>
      <c r="D64" s="445"/>
      <c r="E64" s="180">
        <v>1</v>
      </c>
      <c r="F64" s="190">
        <v>1</v>
      </c>
      <c r="G64" s="193">
        <v>0</v>
      </c>
      <c r="H64" s="191">
        <v>157.65</v>
      </c>
      <c r="I64" s="192">
        <v>43.58</v>
      </c>
      <c r="J64" s="448">
        <f>ROUND(F64*H64,2)</f>
        <v>157.65</v>
      </c>
      <c r="K64" s="449"/>
    </row>
    <row r="65" spans="1:11" ht="24.75" customHeight="1" x14ac:dyDescent="0.2">
      <c r="A65" s="428" t="s">
        <v>156</v>
      </c>
      <c r="B65" s="429"/>
      <c r="C65" s="429"/>
      <c r="D65" s="430"/>
      <c r="E65" s="431"/>
      <c r="F65" s="432"/>
      <c r="G65" s="432"/>
      <c r="H65" s="432"/>
      <c r="I65" s="432"/>
      <c r="J65" s="433"/>
      <c r="K65" s="112">
        <f>SUM(J64:K64)</f>
        <v>157.65</v>
      </c>
    </row>
    <row r="66" spans="1:11" ht="24.75" customHeight="1" x14ac:dyDescent="0.2">
      <c r="B66" s="434"/>
      <c r="C66" s="434"/>
      <c r="D66" s="434"/>
      <c r="E66" s="175"/>
      <c r="F66" s="435"/>
      <c r="G66" s="435"/>
      <c r="H66" s="175"/>
      <c r="I66" s="175"/>
      <c r="J66" s="435"/>
      <c r="K66" s="435"/>
    </row>
    <row r="67" spans="1:11" ht="24.75" customHeight="1" x14ac:dyDescent="0.2">
      <c r="A67" s="452" t="s">
        <v>39</v>
      </c>
      <c r="B67" s="453"/>
      <c r="C67" s="453"/>
      <c r="D67" s="453"/>
      <c r="E67" s="453"/>
      <c r="F67" s="453"/>
      <c r="G67" s="453"/>
      <c r="H67" s="453"/>
      <c r="I67" s="453"/>
      <c r="J67" s="453"/>
      <c r="K67" s="454"/>
    </row>
    <row r="68" spans="1:11" ht="24.75" customHeight="1" x14ac:dyDescent="0.2">
      <c r="A68" s="452" t="s">
        <v>40</v>
      </c>
      <c r="B68" s="453"/>
      <c r="C68" s="453"/>
      <c r="D68" s="453"/>
      <c r="E68" s="454"/>
      <c r="F68" s="455" t="s">
        <v>41</v>
      </c>
      <c r="G68" s="455"/>
      <c r="H68" s="455"/>
      <c r="I68" s="455" t="s">
        <v>42</v>
      </c>
      <c r="J68" s="455"/>
      <c r="K68" s="455"/>
    </row>
    <row r="69" spans="1:11" ht="24.75" customHeight="1" x14ac:dyDescent="0.2">
      <c r="A69" s="440" t="s">
        <v>43</v>
      </c>
      <c r="B69" s="441"/>
      <c r="C69" s="441"/>
      <c r="D69" s="441"/>
      <c r="E69" s="442"/>
      <c r="F69" s="450"/>
      <c r="G69" s="438"/>
      <c r="H69" s="438"/>
      <c r="I69" s="451">
        <f>K53</f>
        <v>51.273910999999998</v>
      </c>
      <c r="J69" s="451"/>
      <c r="K69" s="451"/>
    </row>
    <row r="70" spans="1:11" ht="24.75" customHeight="1" x14ac:dyDescent="0.2">
      <c r="A70" s="440" t="s">
        <v>166</v>
      </c>
      <c r="B70" s="441"/>
      <c r="C70" s="441"/>
      <c r="D70" s="441"/>
      <c r="E70" s="442"/>
      <c r="F70" s="450"/>
      <c r="G70" s="438"/>
      <c r="H70" s="438"/>
      <c r="I70" s="451">
        <f>K57</f>
        <v>2.5636955500000003</v>
      </c>
      <c r="J70" s="451"/>
      <c r="K70" s="451"/>
    </row>
    <row r="71" spans="1:11" ht="24.75" customHeight="1" x14ac:dyDescent="0.2">
      <c r="A71" s="440" t="s">
        <v>167</v>
      </c>
      <c r="B71" s="441"/>
      <c r="C71" s="441"/>
      <c r="D71" s="441"/>
      <c r="E71" s="442"/>
      <c r="F71" s="450"/>
      <c r="G71" s="438"/>
      <c r="H71" s="438"/>
      <c r="I71" s="451">
        <f>K61</f>
        <v>615.57000000000005</v>
      </c>
      <c r="J71" s="451"/>
      <c r="K71" s="451"/>
    </row>
    <row r="72" spans="1:11" ht="24.75" customHeight="1" x14ac:dyDescent="0.2">
      <c r="A72" s="440" t="s">
        <v>168</v>
      </c>
      <c r="B72" s="441"/>
      <c r="C72" s="441"/>
      <c r="D72" s="441"/>
      <c r="E72" s="442"/>
      <c r="F72" s="464"/>
      <c r="G72" s="464"/>
      <c r="H72" s="464"/>
      <c r="I72" s="451">
        <f>K65</f>
        <v>157.65</v>
      </c>
      <c r="J72" s="451"/>
      <c r="K72" s="451"/>
    </row>
    <row r="73" spans="1:11" ht="24.75" customHeight="1" x14ac:dyDescent="0.2">
      <c r="A73" s="465" t="s">
        <v>46</v>
      </c>
      <c r="B73" s="466"/>
      <c r="C73" s="466"/>
      <c r="D73" s="466"/>
      <c r="E73" s="467"/>
      <c r="F73" s="438"/>
      <c r="G73" s="438"/>
      <c r="H73" s="438"/>
      <c r="I73" s="463">
        <f>I69+I70+I71+I72</f>
        <v>827.05760655000006</v>
      </c>
      <c r="J73" s="463"/>
      <c r="K73" s="463"/>
    </row>
    <row r="74" spans="1:11" ht="24.75" customHeight="1" x14ac:dyDescent="0.2">
      <c r="A74" s="456"/>
      <c r="B74" s="457"/>
      <c r="C74" s="457"/>
      <c r="D74" s="457"/>
      <c r="E74" s="458"/>
      <c r="F74" s="459"/>
      <c r="G74" s="460"/>
      <c r="H74" s="461"/>
      <c r="I74" s="448"/>
      <c r="J74" s="462"/>
      <c r="K74" s="449"/>
    </row>
    <row r="75" spans="1:11" ht="24.75" customHeight="1" x14ac:dyDescent="0.2">
      <c r="A75" s="428" t="s">
        <v>47</v>
      </c>
      <c r="B75" s="429"/>
      <c r="C75" s="429"/>
      <c r="D75" s="429"/>
      <c r="E75" s="430"/>
      <c r="F75" s="438"/>
      <c r="G75" s="438"/>
      <c r="H75" s="438"/>
      <c r="I75" s="463">
        <f>I73+I74</f>
        <v>827.05760655000006</v>
      </c>
      <c r="J75" s="463"/>
      <c r="K75" s="463"/>
    </row>
    <row r="76" spans="1:11" ht="24.75" customHeight="1" x14ac:dyDescent="0.2">
      <c r="A76" s="471" t="s">
        <v>48</v>
      </c>
      <c r="B76" s="472"/>
      <c r="C76" s="472"/>
      <c r="D76" s="472"/>
      <c r="E76" s="473"/>
      <c r="F76" s="464">
        <v>0.34520000000000001</v>
      </c>
      <c r="G76" s="464"/>
      <c r="H76" s="464"/>
      <c r="I76" s="451">
        <f>F76*I75</f>
        <v>285.50028578106003</v>
      </c>
      <c r="J76" s="451"/>
      <c r="K76" s="451"/>
    </row>
    <row r="77" spans="1:11" ht="24.75" customHeight="1" x14ac:dyDescent="0.2">
      <c r="A77" s="452" t="s">
        <v>49</v>
      </c>
      <c r="B77" s="453"/>
      <c r="C77" s="453"/>
      <c r="D77" s="453"/>
      <c r="E77" s="454"/>
      <c r="F77" s="474"/>
      <c r="G77" s="474"/>
      <c r="H77" s="474"/>
      <c r="I77" s="463">
        <f>I75+I76</f>
        <v>1112.55789233106</v>
      </c>
      <c r="J77" s="463"/>
      <c r="K77" s="463"/>
    </row>
    <row r="78" spans="1:11" ht="27" customHeight="1" x14ac:dyDescent="0.2">
      <c r="B78" s="468"/>
      <c r="C78" s="468"/>
      <c r="D78" s="468"/>
      <c r="E78" s="175"/>
      <c r="F78" s="469"/>
      <c r="G78" s="469"/>
      <c r="H78" s="19"/>
      <c r="I78" s="170"/>
      <c r="J78" s="470"/>
      <c r="K78" s="470"/>
    </row>
    <row r="79" spans="1:11" ht="12.75" customHeight="1" x14ac:dyDescent="0.2">
      <c r="A79" s="435" t="str">
        <f>PLANILHA!A67</f>
        <v>Vargem Alta/ES, 03 de Novembro de 2021.</v>
      </c>
      <c r="B79" s="435"/>
      <c r="C79" s="435"/>
      <c r="D79" s="435"/>
      <c r="E79" s="175"/>
      <c r="F79" s="469"/>
      <c r="G79" s="469"/>
      <c r="H79" s="19"/>
      <c r="I79" s="170"/>
      <c r="J79" s="470"/>
      <c r="K79" s="470"/>
    </row>
    <row r="80" spans="1:11" ht="24" customHeight="1" x14ac:dyDescent="0.2">
      <c r="B80" s="480"/>
      <c r="C80" s="480"/>
      <c r="D80" s="480"/>
      <c r="E80" s="175"/>
      <c r="F80" s="469"/>
      <c r="G80" s="469"/>
      <c r="H80" s="19"/>
      <c r="I80" s="170"/>
      <c r="J80" s="470"/>
      <c r="K80" s="470"/>
    </row>
    <row r="81" spans="1:11" x14ac:dyDescent="0.2">
      <c r="B81" s="434"/>
      <c r="C81" s="434"/>
      <c r="D81" s="434"/>
      <c r="E81" s="175"/>
      <c r="F81" s="481" t="s">
        <v>50</v>
      </c>
      <c r="G81" s="481"/>
      <c r="H81" s="481"/>
      <c r="I81" s="481"/>
      <c r="J81" s="482"/>
      <c r="K81" s="482"/>
    </row>
    <row r="82" spans="1:11" x14ac:dyDescent="0.2">
      <c r="B82" s="114"/>
      <c r="C82" s="114"/>
      <c r="D82" s="114"/>
      <c r="E82" s="114"/>
      <c r="F82" s="435" t="s">
        <v>61</v>
      </c>
      <c r="G82" s="435"/>
      <c r="H82" s="435"/>
      <c r="I82" s="435"/>
      <c r="J82" s="114"/>
      <c r="K82" s="114"/>
    </row>
    <row r="83" spans="1:11" x14ac:dyDescent="0.2">
      <c r="B83" s="434"/>
      <c r="C83" s="434"/>
      <c r="D83" s="434"/>
      <c r="E83" s="175"/>
      <c r="F83" s="435"/>
      <c r="G83" s="435"/>
      <c r="H83" s="175"/>
      <c r="I83" s="175"/>
      <c r="J83" s="435"/>
      <c r="K83" s="435"/>
    </row>
    <row r="84" spans="1:11" x14ac:dyDescent="0.2">
      <c r="A84" s="479"/>
      <c r="B84" s="479"/>
      <c r="C84" s="479"/>
      <c r="D84" s="175"/>
      <c r="E84" s="469"/>
      <c r="F84" s="469"/>
      <c r="G84" s="19"/>
      <c r="H84" s="170"/>
      <c r="I84" s="470"/>
      <c r="J84" s="470"/>
    </row>
    <row r="85" spans="1:11" x14ac:dyDescent="0.2">
      <c r="A85" s="480"/>
      <c r="B85" s="480"/>
      <c r="C85" s="480"/>
      <c r="D85" s="175"/>
      <c r="E85" s="470"/>
      <c r="F85" s="470"/>
      <c r="G85" s="19"/>
      <c r="H85" s="170"/>
      <c r="I85" s="470"/>
      <c r="J85" s="470"/>
    </row>
    <row r="86" spans="1:11" x14ac:dyDescent="0.2">
      <c r="A86" s="434"/>
      <c r="B86" s="434"/>
      <c r="C86" s="434"/>
      <c r="D86" s="115"/>
      <c r="E86" s="470"/>
      <c r="F86" s="470"/>
      <c r="G86" s="115"/>
      <c r="H86" s="115"/>
      <c r="I86" s="482"/>
      <c r="J86" s="482"/>
    </row>
    <row r="87" spans="1:11" x14ac:dyDescent="0.2">
      <c r="A87" s="435"/>
      <c r="B87" s="435"/>
      <c r="C87" s="435"/>
      <c r="D87" s="435"/>
      <c r="E87" s="435"/>
      <c r="F87" s="435"/>
      <c r="G87" s="435"/>
      <c r="H87" s="435"/>
      <c r="I87" s="435"/>
      <c r="J87" s="435"/>
    </row>
    <row r="88" spans="1:11" x14ac:dyDescent="0.2">
      <c r="A88" s="483"/>
      <c r="B88" s="483"/>
      <c r="C88" s="483"/>
      <c r="D88" s="483"/>
      <c r="E88" s="483"/>
      <c r="F88" s="483"/>
      <c r="G88" s="483"/>
      <c r="H88" s="483"/>
      <c r="I88" s="483"/>
      <c r="J88" s="483"/>
    </row>
    <row r="89" spans="1:11" x14ac:dyDescent="0.2">
      <c r="A89" s="483"/>
      <c r="B89" s="483"/>
      <c r="C89" s="483"/>
      <c r="D89" s="483"/>
      <c r="E89" s="434"/>
      <c r="F89" s="434"/>
      <c r="G89" s="434"/>
      <c r="H89" s="434"/>
      <c r="I89" s="434"/>
      <c r="J89" s="434"/>
    </row>
    <row r="90" spans="1:11" x14ac:dyDescent="0.2">
      <c r="A90" s="480"/>
      <c r="B90" s="480"/>
      <c r="C90" s="480"/>
      <c r="D90" s="480"/>
      <c r="E90" s="484"/>
      <c r="F90" s="435"/>
      <c r="G90" s="435"/>
      <c r="H90" s="470"/>
      <c r="I90" s="470"/>
      <c r="J90" s="470"/>
    </row>
    <row r="91" spans="1:11" x14ac:dyDescent="0.2">
      <c r="A91" s="480"/>
      <c r="B91" s="480"/>
      <c r="C91" s="480"/>
      <c r="D91" s="480"/>
      <c r="E91" s="484"/>
      <c r="F91" s="435"/>
      <c r="G91" s="435"/>
      <c r="H91" s="470"/>
      <c r="I91" s="470"/>
      <c r="J91" s="470"/>
    </row>
    <row r="92" spans="1:11" x14ac:dyDescent="0.2">
      <c r="A92" s="480"/>
      <c r="B92" s="480"/>
      <c r="C92" s="480"/>
      <c r="D92" s="480"/>
      <c r="E92" s="484"/>
      <c r="F92" s="435"/>
      <c r="G92" s="435"/>
      <c r="H92" s="470"/>
      <c r="I92" s="470"/>
      <c r="J92" s="470"/>
    </row>
    <row r="93" spans="1:11" x14ac:dyDescent="0.2">
      <c r="A93" s="480"/>
      <c r="B93" s="480"/>
      <c r="C93" s="480"/>
      <c r="D93" s="480"/>
      <c r="E93" s="485"/>
      <c r="F93" s="485"/>
      <c r="G93" s="485"/>
      <c r="H93" s="470"/>
      <c r="I93" s="470"/>
      <c r="J93" s="470"/>
    </row>
    <row r="94" spans="1:11" x14ac:dyDescent="0.2">
      <c r="A94" s="486"/>
      <c r="B94" s="486"/>
      <c r="C94" s="486"/>
      <c r="D94" s="486"/>
      <c r="E94" s="435"/>
      <c r="F94" s="435"/>
      <c r="G94" s="435"/>
      <c r="H94" s="482"/>
      <c r="I94" s="482"/>
      <c r="J94" s="482"/>
    </row>
    <row r="95" spans="1:11" x14ac:dyDescent="0.2">
      <c r="A95" s="480"/>
      <c r="B95" s="480"/>
      <c r="C95" s="480"/>
      <c r="D95" s="480"/>
      <c r="E95" s="485"/>
      <c r="F95" s="485"/>
      <c r="G95" s="485"/>
      <c r="H95" s="470"/>
      <c r="I95" s="470"/>
      <c r="J95" s="470"/>
    </row>
    <row r="96" spans="1:11" x14ac:dyDescent="0.2">
      <c r="A96" s="434"/>
      <c r="B96" s="434"/>
      <c r="C96" s="434"/>
      <c r="D96" s="434"/>
      <c r="E96" s="435"/>
      <c r="F96" s="435"/>
      <c r="G96" s="435"/>
      <c r="H96" s="482"/>
      <c r="I96" s="482"/>
      <c r="J96" s="482"/>
    </row>
    <row r="97" spans="1:10" x14ac:dyDescent="0.2">
      <c r="A97" s="480"/>
      <c r="B97" s="480"/>
      <c r="C97" s="480"/>
      <c r="D97" s="480"/>
      <c r="E97" s="485"/>
      <c r="F97" s="485"/>
      <c r="G97" s="485"/>
      <c r="H97" s="470"/>
      <c r="I97" s="470"/>
      <c r="J97" s="470"/>
    </row>
    <row r="98" spans="1:10" x14ac:dyDescent="0.2">
      <c r="A98" s="483"/>
      <c r="B98" s="483"/>
      <c r="C98" s="483"/>
      <c r="D98" s="483"/>
      <c r="E98" s="487"/>
      <c r="F98" s="487"/>
      <c r="G98" s="487"/>
      <c r="H98" s="482"/>
      <c r="I98" s="482"/>
      <c r="J98" s="482"/>
    </row>
    <row r="99" spans="1:10" x14ac:dyDescent="0.2">
      <c r="A99" s="116"/>
      <c r="B99" s="116"/>
      <c r="C99" s="116"/>
      <c r="D99" s="116"/>
      <c r="E99" s="116"/>
      <c r="F99" s="116"/>
      <c r="G99" s="116"/>
      <c r="H99" s="116"/>
      <c r="I99" s="116"/>
      <c r="J99" s="116"/>
    </row>
    <row r="100" spans="1:10" x14ac:dyDescent="0.2">
      <c r="A100" s="116"/>
      <c r="B100" s="116"/>
      <c r="C100" s="116"/>
      <c r="D100" s="116"/>
      <c r="E100" s="116"/>
      <c r="F100" s="116"/>
      <c r="G100" s="116"/>
      <c r="H100" s="116"/>
      <c r="I100" s="116"/>
      <c r="J100" s="116"/>
    </row>
    <row r="101" spans="1:10" x14ac:dyDescent="0.2">
      <c r="A101" s="116"/>
      <c r="B101" s="116"/>
      <c r="C101" s="116"/>
      <c r="D101" s="116"/>
      <c r="E101" s="116"/>
      <c r="F101" s="116"/>
      <c r="G101" s="116"/>
      <c r="H101" s="116"/>
      <c r="I101" s="116"/>
      <c r="J101" s="116"/>
    </row>
    <row r="102" spans="1:10" x14ac:dyDescent="0.2">
      <c r="A102" s="116"/>
      <c r="B102" s="116"/>
      <c r="C102" s="116"/>
      <c r="D102" s="116"/>
      <c r="E102" s="116"/>
      <c r="F102" s="116"/>
      <c r="G102" s="116"/>
      <c r="H102" s="116"/>
      <c r="I102" s="116"/>
      <c r="J102" s="116"/>
    </row>
    <row r="103" spans="1:10" x14ac:dyDescent="0.2">
      <c r="A103" s="116"/>
      <c r="B103" s="116"/>
      <c r="C103" s="116"/>
      <c r="D103" s="116"/>
      <c r="E103" s="116"/>
      <c r="F103" s="116"/>
      <c r="G103" s="116"/>
      <c r="H103" s="116"/>
      <c r="I103" s="116"/>
      <c r="J103" s="116"/>
    </row>
    <row r="104" spans="1:10" x14ac:dyDescent="0.2">
      <c r="A104" s="116"/>
      <c r="B104" s="116"/>
      <c r="C104" s="116"/>
      <c r="D104" s="116"/>
      <c r="E104" s="116"/>
      <c r="F104" s="116"/>
      <c r="G104" s="116"/>
      <c r="H104" s="116"/>
      <c r="I104" s="116"/>
      <c r="J104" s="116"/>
    </row>
    <row r="105" spans="1:10" x14ac:dyDescent="0.2">
      <c r="A105" s="116"/>
      <c r="B105" s="116"/>
      <c r="C105" s="116"/>
      <c r="D105" s="116"/>
      <c r="E105" s="116"/>
      <c r="F105" s="116"/>
      <c r="G105" s="116"/>
      <c r="H105" s="116"/>
      <c r="I105" s="116"/>
      <c r="J105" s="116"/>
    </row>
    <row r="106" spans="1:10" x14ac:dyDescent="0.2">
      <c r="A106" s="169"/>
      <c r="B106" s="488"/>
      <c r="C106" s="488"/>
      <c r="D106" s="488"/>
      <c r="E106" s="488"/>
      <c r="F106" s="488"/>
      <c r="G106" s="488"/>
      <c r="H106" s="488"/>
      <c r="I106" s="488"/>
      <c r="J106" s="88"/>
    </row>
    <row r="107" spans="1:10" ht="38.25" customHeight="1" x14ac:dyDescent="0.2">
      <c r="A107" s="88"/>
      <c r="B107" s="489"/>
      <c r="C107" s="489"/>
      <c r="D107" s="489"/>
      <c r="E107" s="489"/>
      <c r="F107" s="489"/>
      <c r="G107" s="489"/>
      <c r="H107" s="489"/>
      <c r="I107" s="489"/>
      <c r="J107" s="88"/>
    </row>
    <row r="108" spans="1:10" x14ac:dyDescent="0.2">
      <c r="A108" s="490"/>
      <c r="B108" s="490"/>
      <c r="C108" s="490"/>
      <c r="D108" s="490"/>
      <c r="E108" s="490"/>
      <c r="F108" s="490"/>
      <c r="G108" s="490"/>
      <c r="H108" s="490"/>
      <c r="I108" s="490"/>
      <c r="J108" s="490"/>
    </row>
    <row r="109" spans="1:10" x14ac:dyDescent="0.2">
      <c r="A109" s="434"/>
      <c r="B109" s="434"/>
      <c r="C109" s="434"/>
      <c r="D109" s="175"/>
      <c r="E109" s="435"/>
      <c r="F109" s="435"/>
      <c r="G109" s="175"/>
      <c r="H109" s="175"/>
      <c r="I109" s="435"/>
      <c r="J109" s="435"/>
    </row>
    <row r="110" spans="1:10" ht="24.75" customHeight="1" x14ac:dyDescent="0.2">
      <c r="A110" s="468"/>
      <c r="B110" s="468"/>
      <c r="C110" s="468"/>
      <c r="D110" s="175"/>
      <c r="E110" s="469"/>
      <c r="F110" s="469"/>
      <c r="G110" s="19"/>
      <c r="H110" s="170"/>
      <c r="I110" s="470"/>
      <c r="J110" s="470"/>
    </row>
    <row r="111" spans="1:10" x14ac:dyDescent="0.2">
      <c r="A111" s="434"/>
      <c r="B111" s="434"/>
      <c r="C111" s="434"/>
      <c r="D111" s="175"/>
      <c r="E111" s="470"/>
      <c r="F111" s="470"/>
      <c r="G111" s="19"/>
      <c r="H111" s="170"/>
      <c r="I111" s="482"/>
      <c r="J111" s="482"/>
    </row>
    <row r="112" spans="1:10" x14ac:dyDescent="0.2">
      <c r="A112" s="435"/>
      <c r="B112" s="435"/>
      <c r="C112" s="435"/>
      <c r="D112" s="435"/>
      <c r="E112" s="435"/>
      <c r="F112" s="435"/>
      <c r="G112" s="435"/>
      <c r="H112" s="435"/>
      <c r="I112" s="435"/>
      <c r="J112" s="435"/>
    </row>
    <row r="113" spans="1:10" x14ac:dyDescent="0.2">
      <c r="A113" s="435"/>
      <c r="B113" s="435"/>
      <c r="C113" s="435"/>
      <c r="D113" s="435"/>
      <c r="E113" s="435"/>
      <c r="F113" s="435"/>
      <c r="G113" s="435"/>
      <c r="H113" s="435"/>
      <c r="I113" s="435"/>
      <c r="J113" s="435"/>
    </row>
    <row r="114" spans="1:10" ht="12.75" customHeight="1" x14ac:dyDescent="0.2">
      <c r="A114" s="483"/>
      <c r="B114" s="483"/>
      <c r="C114" s="483"/>
      <c r="D114" s="483"/>
      <c r="E114" s="483"/>
      <c r="F114" s="483"/>
      <c r="G114" s="483"/>
      <c r="H114" s="483"/>
      <c r="I114" s="483"/>
      <c r="J114" s="483"/>
    </row>
    <row r="115" spans="1:10" ht="12.75" customHeight="1" x14ac:dyDescent="0.2">
      <c r="A115" s="483"/>
      <c r="B115" s="483"/>
      <c r="C115" s="483"/>
      <c r="D115" s="483"/>
      <c r="E115" s="434"/>
      <c r="F115" s="434"/>
      <c r="G115" s="434"/>
      <c r="H115" s="434"/>
      <c r="I115" s="434"/>
      <c r="J115" s="434"/>
    </row>
    <row r="116" spans="1:10" ht="12.75" customHeight="1" x14ac:dyDescent="0.2">
      <c r="A116" s="480"/>
      <c r="B116" s="480"/>
      <c r="C116" s="480"/>
      <c r="D116" s="480"/>
      <c r="E116" s="484"/>
      <c r="F116" s="435"/>
      <c r="G116" s="435"/>
      <c r="H116" s="491"/>
      <c r="I116" s="491"/>
      <c r="J116" s="491"/>
    </row>
    <row r="117" spans="1:10" x14ac:dyDescent="0.2">
      <c r="A117" s="480"/>
      <c r="B117" s="480"/>
      <c r="C117" s="480"/>
      <c r="D117" s="480"/>
      <c r="E117" s="484"/>
      <c r="F117" s="435"/>
      <c r="G117" s="435"/>
      <c r="H117" s="470"/>
      <c r="I117" s="470"/>
      <c r="J117" s="470"/>
    </row>
    <row r="118" spans="1:10" x14ac:dyDescent="0.2">
      <c r="A118" s="480"/>
      <c r="B118" s="480"/>
      <c r="C118" s="480"/>
      <c r="D118" s="480"/>
      <c r="E118" s="484"/>
      <c r="F118" s="435"/>
      <c r="G118" s="435"/>
      <c r="H118" s="491"/>
      <c r="I118" s="491"/>
      <c r="J118" s="491"/>
    </row>
    <row r="119" spans="1:10" ht="24" customHeight="1" x14ac:dyDescent="0.2">
      <c r="A119" s="480"/>
      <c r="B119" s="480"/>
      <c r="C119" s="480"/>
      <c r="D119" s="480"/>
      <c r="E119" s="485"/>
      <c r="F119" s="485"/>
      <c r="G119" s="485"/>
      <c r="H119" s="491"/>
      <c r="I119" s="491"/>
      <c r="J119" s="491"/>
    </row>
    <row r="120" spans="1:10" ht="12.75" customHeight="1" x14ac:dyDescent="0.2">
      <c r="A120" s="486"/>
      <c r="B120" s="486"/>
      <c r="C120" s="486"/>
      <c r="D120" s="486"/>
      <c r="E120" s="435"/>
      <c r="F120" s="435"/>
      <c r="G120" s="435"/>
      <c r="H120" s="482"/>
      <c r="I120" s="482"/>
      <c r="J120" s="482"/>
    </row>
    <row r="121" spans="1:10" ht="22.5" customHeight="1" x14ac:dyDescent="0.2">
      <c r="A121" s="480"/>
      <c r="B121" s="480"/>
      <c r="C121" s="480"/>
      <c r="D121" s="480"/>
      <c r="E121" s="485"/>
      <c r="F121" s="485"/>
      <c r="G121" s="485"/>
      <c r="H121" s="491"/>
      <c r="I121" s="491"/>
      <c r="J121" s="491"/>
    </row>
    <row r="122" spans="1:10" ht="12.75" customHeight="1" x14ac:dyDescent="0.2">
      <c r="A122" s="434"/>
      <c r="B122" s="434"/>
      <c r="C122" s="434"/>
      <c r="D122" s="434"/>
      <c r="E122" s="435"/>
      <c r="F122" s="435"/>
      <c r="G122" s="435"/>
      <c r="H122" s="482"/>
      <c r="I122" s="482"/>
      <c r="J122" s="482"/>
    </row>
    <row r="123" spans="1:10" ht="24.75" customHeight="1" x14ac:dyDescent="0.2">
      <c r="A123" s="480"/>
      <c r="B123" s="480"/>
      <c r="C123" s="480"/>
      <c r="D123" s="480"/>
      <c r="E123" s="485"/>
      <c r="F123" s="485"/>
      <c r="G123" s="485"/>
      <c r="H123" s="470"/>
      <c r="I123" s="470"/>
      <c r="J123" s="470"/>
    </row>
    <row r="124" spans="1:10" ht="27" customHeight="1" x14ac:dyDescent="0.2">
      <c r="A124" s="483"/>
      <c r="B124" s="483"/>
      <c r="C124" s="483"/>
      <c r="D124" s="483"/>
      <c r="E124" s="487"/>
      <c r="F124" s="487"/>
      <c r="G124" s="487"/>
      <c r="H124" s="482"/>
      <c r="I124" s="482"/>
      <c r="J124" s="482"/>
    </row>
    <row r="125" spans="1:10" x14ac:dyDescent="0.2">
      <c r="A125" s="171"/>
      <c r="B125" s="171"/>
      <c r="C125" s="171"/>
      <c r="D125" s="171"/>
      <c r="E125" s="172"/>
      <c r="F125" s="172"/>
      <c r="G125" s="172"/>
      <c r="H125" s="173"/>
      <c r="I125" s="173"/>
      <c r="J125" s="173"/>
    </row>
    <row r="126" spans="1:10" x14ac:dyDescent="0.2">
      <c r="A126" s="171"/>
      <c r="B126" s="171"/>
      <c r="C126" s="171"/>
      <c r="D126" s="171"/>
      <c r="E126" s="172"/>
      <c r="F126" s="172"/>
      <c r="G126" s="172"/>
      <c r="H126" s="173"/>
      <c r="I126" s="173"/>
      <c r="J126" s="173"/>
    </row>
    <row r="127" spans="1:10" x14ac:dyDescent="0.2">
      <c r="A127" s="171"/>
      <c r="B127" s="171"/>
      <c r="C127" s="171"/>
      <c r="D127" s="171"/>
      <c r="E127" s="172"/>
      <c r="F127" s="172"/>
      <c r="G127" s="172"/>
      <c r="H127" s="173"/>
      <c r="I127" s="173"/>
      <c r="J127" s="173"/>
    </row>
    <row r="128" spans="1:10" ht="12.75" customHeight="1" x14ac:dyDescent="0.2">
      <c r="A128" s="171"/>
      <c r="B128" s="171"/>
      <c r="C128" s="171"/>
      <c r="D128" s="171"/>
      <c r="E128" s="172"/>
      <c r="F128" s="172"/>
      <c r="G128" s="172"/>
      <c r="H128" s="173"/>
      <c r="I128" s="173"/>
      <c r="J128" s="173"/>
    </row>
    <row r="129" spans="1:10" x14ac:dyDescent="0.2">
      <c r="A129" s="171"/>
      <c r="B129" s="171"/>
      <c r="C129" s="171"/>
      <c r="D129" s="171"/>
      <c r="E129" s="172"/>
      <c r="F129" s="172"/>
      <c r="G129" s="172"/>
      <c r="H129" s="173"/>
      <c r="I129" s="173"/>
      <c r="J129" s="173"/>
    </row>
    <row r="130" spans="1:10" x14ac:dyDescent="0.2">
      <c r="A130" s="171"/>
      <c r="B130" s="171"/>
      <c r="C130" s="171"/>
      <c r="D130" s="171"/>
      <c r="E130" s="172"/>
      <c r="F130" s="172"/>
      <c r="G130" s="172"/>
      <c r="H130" s="173"/>
      <c r="I130" s="173"/>
      <c r="J130" s="173"/>
    </row>
    <row r="131" spans="1:10" x14ac:dyDescent="0.2">
      <c r="A131" s="169"/>
      <c r="B131" s="488"/>
      <c r="C131" s="488"/>
      <c r="D131" s="488"/>
      <c r="E131" s="488"/>
      <c r="F131" s="488"/>
      <c r="G131" s="488"/>
      <c r="H131" s="488"/>
      <c r="I131" s="488"/>
      <c r="J131" s="88"/>
    </row>
    <row r="132" spans="1:10" ht="24" customHeight="1" x14ac:dyDescent="0.2">
      <c r="A132" s="88"/>
      <c r="B132" s="489"/>
      <c r="C132" s="489"/>
      <c r="D132" s="489"/>
      <c r="E132" s="489"/>
      <c r="F132" s="489"/>
      <c r="G132" s="489"/>
      <c r="H132" s="489"/>
      <c r="I132" s="489"/>
      <c r="J132" s="88"/>
    </row>
    <row r="133" spans="1:10" x14ac:dyDescent="0.2">
      <c r="A133" s="490"/>
      <c r="B133" s="490"/>
      <c r="C133" s="490"/>
      <c r="D133" s="490"/>
      <c r="E133" s="490"/>
      <c r="F133" s="490"/>
      <c r="G133" s="490"/>
      <c r="H133" s="490"/>
      <c r="I133" s="490"/>
      <c r="J133" s="490"/>
    </row>
    <row r="134" spans="1:10" x14ac:dyDescent="0.2">
      <c r="A134" s="434"/>
      <c r="B134" s="434"/>
      <c r="C134" s="434"/>
      <c r="D134" s="175"/>
      <c r="E134" s="435"/>
      <c r="F134" s="435"/>
      <c r="G134" s="175"/>
      <c r="H134" s="175"/>
      <c r="I134" s="435"/>
      <c r="J134" s="435"/>
    </row>
    <row r="135" spans="1:10" x14ac:dyDescent="0.2">
      <c r="A135" s="480"/>
      <c r="B135" s="480"/>
      <c r="C135" s="480"/>
      <c r="D135" s="175"/>
      <c r="E135" s="469"/>
      <c r="F135" s="469"/>
      <c r="G135" s="19"/>
      <c r="H135" s="170"/>
      <c r="I135" s="470"/>
      <c r="J135" s="470"/>
    </row>
    <row r="136" spans="1:10" x14ac:dyDescent="0.2">
      <c r="A136" s="480"/>
      <c r="B136" s="480"/>
      <c r="C136" s="480"/>
      <c r="D136" s="175"/>
      <c r="E136" s="469"/>
      <c r="F136" s="469"/>
      <c r="G136" s="19"/>
      <c r="H136" s="170"/>
      <c r="I136" s="470"/>
      <c r="J136" s="470"/>
    </row>
    <row r="137" spans="1:10" x14ac:dyDescent="0.2">
      <c r="A137" s="480"/>
      <c r="B137" s="480"/>
      <c r="C137" s="480"/>
      <c r="D137" s="175"/>
      <c r="E137" s="469"/>
      <c r="F137" s="469"/>
      <c r="G137" s="19"/>
      <c r="H137" s="170"/>
      <c r="I137" s="470"/>
      <c r="J137" s="470"/>
    </row>
    <row r="138" spans="1:10" x14ac:dyDescent="0.2">
      <c r="A138" s="480"/>
      <c r="B138" s="480"/>
      <c r="C138" s="480"/>
      <c r="D138" s="175"/>
      <c r="E138" s="469"/>
      <c r="F138" s="469"/>
      <c r="G138" s="19"/>
      <c r="H138" s="170"/>
      <c r="I138" s="470"/>
      <c r="J138" s="470"/>
    </row>
    <row r="139" spans="1:10" x14ac:dyDescent="0.2">
      <c r="A139" s="480"/>
      <c r="B139" s="480"/>
      <c r="C139" s="480"/>
      <c r="D139" s="175"/>
      <c r="E139" s="469"/>
      <c r="F139" s="469"/>
      <c r="G139" s="19"/>
      <c r="H139" s="170"/>
      <c r="I139" s="470"/>
      <c r="J139" s="470"/>
    </row>
    <row r="140" spans="1:10" x14ac:dyDescent="0.2">
      <c r="A140" s="434"/>
      <c r="B140" s="434"/>
      <c r="C140" s="434"/>
      <c r="D140" s="175"/>
      <c r="E140" s="470"/>
      <c r="F140" s="470"/>
      <c r="G140" s="19"/>
      <c r="H140" s="170"/>
      <c r="I140" s="482"/>
      <c r="J140" s="482"/>
    </row>
    <row r="141" spans="1:10" x14ac:dyDescent="0.2">
      <c r="A141" s="435"/>
      <c r="B141" s="435"/>
      <c r="C141" s="435"/>
      <c r="D141" s="435"/>
      <c r="E141" s="435"/>
      <c r="F141" s="435"/>
      <c r="G141" s="435"/>
      <c r="H141" s="435"/>
      <c r="I141" s="435"/>
      <c r="J141" s="435"/>
    </row>
    <row r="142" spans="1:10" x14ac:dyDescent="0.2">
      <c r="A142" s="434"/>
      <c r="B142" s="434"/>
      <c r="C142" s="434"/>
      <c r="D142" s="175"/>
      <c r="E142" s="435"/>
      <c r="F142" s="435"/>
      <c r="G142" s="175"/>
      <c r="H142" s="175"/>
      <c r="I142" s="435"/>
      <c r="J142" s="435"/>
    </row>
    <row r="143" spans="1:10" x14ac:dyDescent="0.2">
      <c r="A143" s="479"/>
      <c r="B143" s="479"/>
      <c r="C143" s="479"/>
      <c r="D143" s="175"/>
      <c r="E143" s="469"/>
      <c r="F143" s="469"/>
      <c r="G143" s="19"/>
      <c r="H143" s="170"/>
      <c r="I143" s="470"/>
      <c r="J143" s="470"/>
    </row>
    <row r="144" spans="1:10" x14ac:dyDescent="0.2">
      <c r="A144" s="468"/>
      <c r="B144" s="468"/>
      <c r="C144" s="468"/>
      <c r="D144" s="175"/>
      <c r="E144" s="469"/>
      <c r="F144" s="469"/>
      <c r="G144" s="19"/>
      <c r="H144" s="170"/>
      <c r="I144" s="470"/>
      <c r="J144" s="470"/>
    </row>
    <row r="145" spans="1:10" x14ac:dyDescent="0.2">
      <c r="A145" s="468"/>
      <c r="B145" s="468"/>
      <c r="C145" s="468"/>
      <c r="D145" s="175"/>
      <c r="E145" s="469"/>
      <c r="F145" s="469"/>
      <c r="G145" s="19"/>
      <c r="H145" s="170"/>
      <c r="I145" s="470"/>
      <c r="J145" s="470"/>
    </row>
    <row r="146" spans="1:10" x14ac:dyDescent="0.2">
      <c r="A146" s="468"/>
      <c r="B146" s="468"/>
      <c r="C146" s="468"/>
      <c r="D146" s="175"/>
      <c r="E146" s="469"/>
      <c r="F146" s="469"/>
      <c r="G146" s="19"/>
      <c r="H146" s="170"/>
      <c r="I146" s="470"/>
      <c r="J146" s="470"/>
    </row>
    <row r="147" spans="1:10" x14ac:dyDescent="0.2">
      <c r="A147" s="468"/>
      <c r="B147" s="468"/>
      <c r="C147" s="468"/>
      <c r="D147" s="175"/>
      <c r="E147" s="469"/>
      <c r="F147" s="469"/>
      <c r="G147" s="19"/>
      <c r="H147" s="170"/>
      <c r="I147" s="470"/>
      <c r="J147" s="470"/>
    </row>
    <row r="148" spans="1:10" x14ac:dyDescent="0.2">
      <c r="A148" s="468"/>
      <c r="B148" s="468"/>
      <c r="C148" s="468"/>
      <c r="D148" s="175"/>
      <c r="E148" s="469"/>
      <c r="F148" s="469"/>
      <c r="G148" s="19"/>
      <c r="H148" s="170"/>
      <c r="I148" s="470"/>
      <c r="J148" s="470"/>
    </row>
    <row r="149" spans="1:10" ht="12.75" customHeight="1" x14ac:dyDescent="0.2">
      <c r="A149" s="468"/>
      <c r="B149" s="468"/>
      <c r="C149" s="468"/>
      <c r="D149" s="175"/>
      <c r="E149" s="469"/>
      <c r="F149" s="469"/>
      <c r="G149" s="19"/>
      <c r="H149" s="170"/>
      <c r="I149" s="470"/>
      <c r="J149" s="470"/>
    </row>
    <row r="150" spans="1:10" ht="27" customHeight="1" x14ac:dyDescent="0.2">
      <c r="A150" s="468"/>
      <c r="B150" s="468"/>
      <c r="C150" s="468"/>
      <c r="D150" s="175"/>
      <c r="E150" s="469"/>
      <c r="F150" s="469"/>
      <c r="G150" s="19"/>
      <c r="H150" s="170"/>
      <c r="I150" s="470"/>
      <c r="J150" s="470"/>
    </row>
    <row r="151" spans="1:10" x14ac:dyDescent="0.2">
      <c r="A151" s="468"/>
      <c r="B151" s="468"/>
      <c r="C151" s="468"/>
      <c r="D151" s="175"/>
      <c r="E151" s="469"/>
      <c r="F151" s="469"/>
      <c r="G151" s="19"/>
      <c r="H151" s="170"/>
      <c r="I151" s="470"/>
      <c r="J151" s="470"/>
    </row>
    <row r="152" spans="1:10" x14ac:dyDescent="0.2">
      <c r="A152" s="468"/>
      <c r="B152" s="468"/>
      <c r="C152" s="468"/>
      <c r="D152" s="175"/>
      <c r="E152" s="469"/>
      <c r="F152" s="469"/>
      <c r="G152" s="19"/>
      <c r="H152" s="170"/>
      <c r="I152" s="470"/>
      <c r="J152" s="470"/>
    </row>
    <row r="153" spans="1:10" x14ac:dyDescent="0.2">
      <c r="A153" s="468"/>
      <c r="B153" s="468"/>
      <c r="C153" s="468"/>
      <c r="D153" s="175"/>
      <c r="E153" s="469"/>
      <c r="F153" s="469"/>
      <c r="G153" s="19"/>
      <c r="H153" s="170"/>
      <c r="I153" s="470"/>
      <c r="J153" s="470"/>
    </row>
    <row r="154" spans="1:10" x14ac:dyDescent="0.2">
      <c r="A154" s="434"/>
      <c r="B154" s="434"/>
      <c r="C154" s="434"/>
      <c r="D154" s="175"/>
      <c r="E154" s="470"/>
      <c r="F154" s="470"/>
      <c r="G154" s="19"/>
      <c r="H154" s="170"/>
      <c r="I154" s="482"/>
      <c r="J154" s="482"/>
    </row>
    <row r="155" spans="1:10" x14ac:dyDescent="0.2">
      <c r="A155" s="435"/>
      <c r="B155" s="435"/>
      <c r="C155" s="435"/>
      <c r="D155" s="435"/>
      <c r="E155" s="435"/>
      <c r="F155" s="435"/>
      <c r="G155" s="435"/>
      <c r="H155" s="435"/>
      <c r="I155" s="435"/>
      <c r="J155" s="435"/>
    </row>
    <row r="156" spans="1:10" x14ac:dyDescent="0.2">
      <c r="A156" s="434"/>
      <c r="B156" s="434"/>
      <c r="C156" s="434"/>
      <c r="D156" s="175"/>
      <c r="E156" s="435"/>
      <c r="F156" s="435"/>
      <c r="G156" s="175"/>
      <c r="H156" s="175"/>
      <c r="I156" s="435"/>
      <c r="J156" s="435"/>
    </row>
    <row r="157" spans="1:10" x14ac:dyDescent="0.2">
      <c r="A157" s="479"/>
      <c r="B157" s="479"/>
      <c r="C157" s="479"/>
      <c r="D157" s="175"/>
      <c r="E157" s="469"/>
      <c r="F157" s="469"/>
      <c r="G157" s="19"/>
      <c r="H157" s="170"/>
      <c r="I157" s="470"/>
      <c r="J157" s="470"/>
    </row>
    <row r="158" spans="1:10" x14ac:dyDescent="0.2">
      <c r="A158" s="480"/>
      <c r="B158" s="480"/>
      <c r="C158" s="480"/>
      <c r="D158" s="175"/>
      <c r="E158" s="470"/>
      <c r="F158" s="470"/>
      <c r="G158" s="19"/>
      <c r="H158" s="170"/>
      <c r="I158" s="470"/>
      <c r="J158" s="470"/>
    </row>
    <row r="159" spans="1:10" x14ac:dyDescent="0.2">
      <c r="A159" s="434"/>
      <c r="B159" s="434"/>
      <c r="C159" s="434"/>
      <c r="D159" s="115"/>
      <c r="E159" s="470"/>
      <c r="F159" s="470"/>
      <c r="G159" s="115"/>
      <c r="H159" s="115"/>
      <c r="I159" s="482"/>
      <c r="J159" s="482"/>
    </row>
    <row r="160" spans="1:10" x14ac:dyDescent="0.2">
      <c r="A160" s="435"/>
      <c r="B160" s="435"/>
      <c r="C160" s="435"/>
      <c r="D160" s="435"/>
      <c r="E160" s="435"/>
      <c r="F160" s="435"/>
      <c r="G160" s="435"/>
      <c r="H160" s="435"/>
      <c r="I160" s="435"/>
      <c r="J160" s="435"/>
    </row>
    <row r="161" spans="1:10" ht="12.75" customHeight="1" x14ac:dyDescent="0.2">
      <c r="A161" s="483"/>
      <c r="B161" s="483"/>
      <c r="C161" s="483"/>
      <c r="D161" s="483"/>
      <c r="E161" s="483"/>
      <c r="F161" s="483"/>
      <c r="G161" s="483"/>
      <c r="H161" s="483"/>
      <c r="I161" s="483"/>
      <c r="J161" s="483"/>
    </row>
    <row r="162" spans="1:10" ht="12.75" customHeight="1" x14ac:dyDescent="0.2">
      <c r="A162" s="483"/>
      <c r="B162" s="483"/>
      <c r="C162" s="483"/>
      <c r="D162" s="483"/>
      <c r="E162" s="434"/>
      <c r="F162" s="434"/>
      <c r="G162" s="434"/>
      <c r="H162" s="434"/>
      <c r="I162" s="434"/>
      <c r="J162" s="434"/>
    </row>
    <row r="163" spans="1:10" ht="12.75" customHeight="1" x14ac:dyDescent="0.2">
      <c r="A163" s="480"/>
      <c r="B163" s="480"/>
      <c r="C163" s="480"/>
      <c r="D163" s="480"/>
      <c r="E163" s="484"/>
      <c r="F163" s="435"/>
      <c r="G163" s="435"/>
      <c r="H163" s="470"/>
      <c r="I163" s="470"/>
      <c r="J163" s="470"/>
    </row>
    <row r="164" spans="1:10" x14ac:dyDescent="0.2">
      <c r="A164" s="480"/>
      <c r="B164" s="480"/>
      <c r="C164" s="480"/>
      <c r="D164" s="480"/>
      <c r="E164" s="484"/>
      <c r="F164" s="435"/>
      <c r="G164" s="435"/>
      <c r="H164" s="470"/>
      <c r="I164" s="470"/>
      <c r="J164" s="470"/>
    </row>
    <row r="165" spans="1:10" x14ac:dyDescent="0.2">
      <c r="A165" s="480"/>
      <c r="B165" s="480"/>
      <c r="C165" s="480"/>
      <c r="D165" s="480"/>
      <c r="E165" s="484"/>
      <c r="F165" s="435"/>
      <c r="G165" s="435"/>
      <c r="H165" s="470"/>
      <c r="I165" s="470"/>
      <c r="J165" s="470"/>
    </row>
    <row r="166" spans="1:10" ht="12.75" customHeight="1" x14ac:dyDescent="0.2">
      <c r="A166" s="480"/>
      <c r="B166" s="480"/>
      <c r="C166" s="480"/>
      <c r="D166" s="480"/>
      <c r="E166" s="485"/>
      <c r="F166" s="485"/>
      <c r="G166" s="485"/>
      <c r="H166" s="470"/>
      <c r="I166" s="470"/>
      <c r="J166" s="470"/>
    </row>
    <row r="167" spans="1:10" ht="12.75" customHeight="1" x14ac:dyDescent="0.2">
      <c r="A167" s="486"/>
      <c r="B167" s="486"/>
      <c r="C167" s="486"/>
      <c r="D167" s="486"/>
      <c r="E167" s="435"/>
      <c r="F167" s="435"/>
      <c r="G167" s="435"/>
      <c r="H167" s="482"/>
      <c r="I167" s="482"/>
      <c r="J167" s="482"/>
    </row>
    <row r="168" spans="1:10" ht="12.75" customHeight="1" x14ac:dyDescent="0.2">
      <c r="A168" s="480"/>
      <c r="B168" s="480"/>
      <c r="C168" s="480"/>
      <c r="D168" s="480"/>
      <c r="E168" s="485"/>
      <c r="F168" s="485"/>
      <c r="G168" s="485"/>
      <c r="H168" s="470"/>
      <c r="I168" s="470"/>
      <c r="J168" s="470"/>
    </row>
    <row r="169" spans="1:10" ht="12.75" customHeight="1" x14ac:dyDescent="0.2">
      <c r="A169" s="434"/>
      <c r="B169" s="434"/>
      <c r="C169" s="434"/>
      <c r="D169" s="434"/>
      <c r="E169" s="435"/>
      <c r="F169" s="435"/>
      <c r="G169" s="435"/>
      <c r="H169" s="482"/>
      <c r="I169" s="482"/>
      <c r="J169" s="482"/>
    </row>
    <row r="170" spans="1:10" ht="12.75" customHeight="1" x14ac:dyDescent="0.2">
      <c r="A170" s="480"/>
      <c r="B170" s="480"/>
      <c r="C170" s="480"/>
      <c r="D170" s="480"/>
      <c r="E170" s="485"/>
      <c r="F170" s="485"/>
      <c r="G170" s="485"/>
      <c r="H170" s="470"/>
      <c r="I170" s="470"/>
      <c r="J170" s="470"/>
    </row>
    <row r="171" spans="1:10" x14ac:dyDescent="0.2">
      <c r="A171" s="483"/>
      <c r="B171" s="483"/>
      <c r="C171" s="483"/>
      <c r="D171" s="483"/>
      <c r="E171" s="487"/>
      <c r="F171" s="487"/>
      <c r="G171" s="487"/>
      <c r="H171" s="482"/>
      <c r="I171" s="482"/>
      <c r="J171" s="482"/>
    </row>
    <row r="172" spans="1:10" x14ac:dyDescent="0.2">
      <c r="A172" s="116"/>
      <c r="B172" s="116"/>
      <c r="C172" s="116"/>
      <c r="D172" s="116"/>
      <c r="E172" s="116"/>
      <c r="F172" s="116"/>
      <c r="G172" s="116"/>
      <c r="H172" s="116"/>
      <c r="I172" s="116"/>
      <c r="J172" s="116"/>
    </row>
    <row r="173" spans="1:10" x14ac:dyDescent="0.2">
      <c r="A173" s="116"/>
      <c r="B173" s="116"/>
      <c r="C173" s="116"/>
      <c r="D173" s="116"/>
      <c r="E173" s="116"/>
      <c r="F173" s="116"/>
      <c r="G173" s="116"/>
      <c r="H173" s="116"/>
      <c r="I173" s="116"/>
      <c r="J173" s="116"/>
    </row>
    <row r="174" spans="1:10" x14ac:dyDescent="0.2">
      <c r="A174" s="493"/>
      <c r="B174" s="493"/>
      <c r="C174" s="493"/>
      <c r="D174" s="493"/>
      <c r="E174" s="493"/>
      <c r="F174" s="116"/>
      <c r="G174" s="116"/>
      <c r="H174" s="116"/>
      <c r="I174" s="116"/>
      <c r="J174" s="116"/>
    </row>
    <row r="175" spans="1:10" x14ac:dyDescent="0.2">
      <c r="A175" s="116"/>
      <c r="B175" s="116"/>
      <c r="C175" s="116"/>
      <c r="D175" s="116"/>
      <c r="E175" s="116"/>
      <c r="F175" s="116"/>
      <c r="G175" s="116"/>
      <c r="H175" s="116"/>
      <c r="I175" s="116"/>
      <c r="J175" s="116"/>
    </row>
    <row r="176" spans="1:10" x14ac:dyDescent="0.2">
      <c r="A176" s="116"/>
      <c r="B176" s="116"/>
      <c r="C176" s="116"/>
      <c r="D176" s="116"/>
      <c r="E176" s="116"/>
      <c r="F176" s="116"/>
      <c r="G176" s="116"/>
      <c r="H176" s="116"/>
      <c r="I176" s="116"/>
      <c r="J176" s="116"/>
    </row>
    <row r="177" spans="1:10" x14ac:dyDescent="0.2">
      <c r="A177" s="116"/>
      <c r="B177" s="116"/>
      <c r="C177" s="116"/>
      <c r="D177" s="116"/>
      <c r="E177" s="116"/>
      <c r="F177" s="116"/>
      <c r="G177" s="116"/>
      <c r="H177" s="116"/>
      <c r="I177" s="116"/>
      <c r="J177" s="116"/>
    </row>
    <row r="178" spans="1:10" x14ac:dyDescent="0.2">
      <c r="A178" s="116"/>
      <c r="B178" s="116"/>
      <c r="C178" s="116"/>
      <c r="D178" s="116"/>
      <c r="E178" s="116"/>
      <c r="F178" s="116"/>
      <c r="G178" s="116"/>
      <c r="H178" s="492"/>
      <c r="I178" s="492"/>
      <c r="J178" s="492"/>
    </row>
    <row r="179" spans="1:10" x14ac:dyDescent="0.2">
      <c r="A179" s="116"/>
      <c r="B179" s="116"/>
      <c r="C179" s="116"/>
      <c r="D179" s="116"/>
      <c r="E179" s="116"/>
      <c r="F179" s="116"/>
      <c r="G179" s="116"/>
      <c r="H179" s="490"/>
      <c r="I179" s="490"/>
      <c r="J179" s="490"/>
    </row>
    <row r="180" spans="1:10" x14ac:dyDescent="0.2">
      <c r="A180" s="116"/>
      <c r="B180" s="116"/>
      <c r="C180" s="116"/>
      <c r="D180" s="116"/>
      <c r="E180" s="116"/>
      <c r="F180" s="116"/>
      <c r="G180" s="116"/>
      <c r="H180" s="490"/>
      <c r="I180" s="490"/>
      <c r="J180" s="490"/>
    </row>
  </sheetData>
  <mergeCells count="371">
    <mergeCell ref="A77:E77"/>
    <mergeCell ref="F77:H77"/>
    <mergeCell ref="I77:K77"/>
    <mergeCell ref="A75:E75"/>
    <mergeCell ref="F75:H75"/>
    <mergeCell ref="I75:K75"/>
    <mergeCell ref="A76:E76"/>
    <mergeCell ref="F76:H76"/>
    <mergeCell ref="I76:K76"/>
    <mergeCell ref="A73:E73"/>
    <mergeCell ref="F73:H73"/>
    <mergeCell ref="I73:K73"/>
    <mergeCell ref="A74:E74"/>
    <mergeCell ref="F74:H74"/>
    <mergeCell ref="I74:K74"/>
    <mergeCell ref="A71:E71"/>
    <mergeCell ref="F71:H71"/>
    <mergeCell ref="I71:K71"/>
    <mergeCell ref="A72:E72"/>
    <mergeCell ref="F72:H72"/>
    <mergeCell ref="I72:K72"/>
    <mergeCell ref="A69:E69"/>
    <mergeCell ref="F69:H69"/>
    <mergeCell ref="I69:K69"/>
    <mergeCell ref="A70:E70"/>
    <mergeCell ref="F70:H70"/>
    <mergeCell ref="I70:K70"/>
    <mergeCell ref="B66:D66"/>
    <mergeCell ref="F66:G66"/>
    <mergeCell ref="J66:K66"/>
    <mergeCell ref="A67:K67"/>
    <mergeCell ref="A68:E68"/>
    <mergeCell ref="F68:H68"/>
    <mergeCell ref="I68:K68"/>
    <mergeCell ref="F56:G56"/>
    <mergeCell ref="A57:D57"/>
    <mergeCell ref="E57:J57"/>
    <mergeCell ref="B59:D59"/>
    <mergeCell ref="F59:G59"/>
    <mergeCell ref="H59:I59"/>
    <mergeCell ref="J59:K59"/>
    <mergeCell ref="A65:D65"/>
    <mergeCell ref="E65:J65"/>
    <mergeCell ref="B63:D63"/>
    <mergeCell ref="J63:K63"/>
    <mergeCell ref="B64:D64"/>
    <mergeCell ref="J64:K64"/>
    <mergeCell ref="B60:D60"/>
    <mergeCell ref="F60:G60"/>
    <mergeCell ref="H60:I60"/>
    <mergeCell ref="J60:K60"/>
    <mergeCell ref="A61:D61"/>
    <mergeCell ref="E61:J61"/>
    <mergeCell ref="F30:G30"/>
    <mergeCell ref="F31:G31"/>
    <mergeCell ref="B29:D29"/>
    <mergeCell ref="B30:D30"/>
    <mergeCell ref="B31:D31"/>
    <mergeCell ref="J29:K29"/>
    <mergeCell ref="J30:K30"/>
    <mergeCell ref="J31:K31"/>
    <mergeCell ref="H29:I29"/>
    <mergeCell ref="H30:I30"/>
    <mergeCell ref="H31:I31"/>
    <mergeCell ref="H25:I25"/>
    <mergeCell ref="J25:K25"/>
    <mergeCell ref="B28:D28"/>
    <mergeCell ref="F28:G28"/>
    <mergeCell ref="H28:I28"/>
    <mergeCell ref="J28:K28"/>
    <mergeCell ref="A26:D26"/>
    <mergeCell ref="E26:J26"/>
    <mergeCell ref="F29:G29"/>
    <mergeCell ref="A174:E174"/>
    <mergeCell ref="H167:J167"/>
    <mergeCell ref="A164:D164"/>
    <mergeCell ref="E164:G164"/>
    <mergeCell ref="H164:J164"/>
    <mergeCell ref="A165:D165"/>
    <mergeCell ref="E165:G165"/>
    <mergeCell ref="H165:J165"/>
    <mergeCell ref="A160:J160"/>
    <mergeCell ref="A161:J161"/>
    <mergeCell ref="A162:D162"/>
    <mergeCell ref="E162:G162"/>
    <mergeCell ref="H162:J162"/>
    <mergeCell ref="A163:D163"/>
    <mergeCell ref="E163:G163"/>
    <mergeCell ref="H163:J163"/>
    <mergeCell ref="H178:J178"/>
    <mergeCell ref="H179:J179"/>
    <mergeCell ref="H180:J180"/>
    <mergeCell ref="F16:G16"/>
    <mergeCell ref="B16:C16"/>
    <mergeCell ref="B17:C17"/>
    <mergeCell ref="F20:G20"/>
    <mergeCell ref="A170:D170"/>
    <mergeCell ref="E170:G170"/>
    <mergeCell ref="H170:J170"/>
    <mergeCell ref="A171:D171"/>
    <mergeCell ref="E171:G171"/>
    <mergeCell ref="H171:J171"/>
    <mergeCell ref="A168:D168"/>
    <mergeCell ref="E168:G168"/>
    <mergeCell ref="H168:J168"/>
    <mergeCell ref="A169:D169"/>
    <mergeCell ref="E169:G169"/>
    <mergeCell ref="H169:J169"/>
    <mergeCell ref="A166:D166"/>
    <mergeCell ref="E166:G166"/>
    <mergeCell ref="H166:J166"/>
    <mergeCell ref="A167:D167"/>
    <mergeCell ref="E167:G167"/>
    <mergeCell ref="A158:C158"/>
    <mergeCell ref="E158:F158"/>
    <mergeCell ref="I158:J158"/>
    <mergeCell ref="A159:C159"/>
    <mergeCell ref="E159:F159"/>
    <mergeCell ref="I159:J159"/>
    <mergeCell ref="A155:J155"/>
    <mergeCell ref="A156:C156"/>
    <mergeCell ref="E156:F156"/>
    <mergeCell ref="I156:J156"/>
    <mergeCell ref="A157:C157"/>
    <mergeCell ref="E157:F157"/>
    <mergeCell ref="I157:J157"/>
    <mergeCell ref="A153:C153"/>
    <mergeCell ref="E153:F153"/>
    <mergeCell ref="I153:J153"/>
    <mergeCell ref="A154:C154"/>
    <mergeCell ref="E154:F154"/>
    <mergeCell ref="I154:J154"/>
    <mergeCell ref="A151:C151"/>
    <mergeCell ref="E151:F151"/>
    <mergeCell ref="I151:J151"/>
    <mergeCell ref="A152:C152"/>
    <mergeCell ref="E152:F152"/>
    <mergeCell ref="I152:J152"/>
    <mergeCell ref="A149:C149"/>
    <mergeCell ref="E149:F149"/>
    <mergeCell ref="I149:J149"/>
    <mergeCell ref="A150:C150"/>
    <mergeCell ref="E150:F150"/>
    <mergeCell ref="I150:J150"/>
    <mergeCell ref="A147:C147"/>
    <mergeCell ref="E147:F147"/>
    <mergeCell ref="I147:J147"/>
    <mergeCell ref="A148:C148"/>
    <mergeCell ref="E148:F148"/>
    <mergeCell ref="I148:J148"/>
    <mergeCell ref="A145:C145"/>
    <mergeCell ref="E145:F145"/>
    <mergeCell ref="I145:J145"/>
    <mergeCell ref="A146:C146"/>
    <mergeCell ref="E146:F146"/>
    <mergeCell ref="I146:J146"/>
    <mergeCell ref="A143:C143"/>
    <mergeCell ref="E143:F143"/>
    <mergeCell ref="I143:J143"/>
    <mergeCell ref="A144:C144"/>
    <mergeCell ref="E144:F144"/>
    <mergeCell ref="I144:J144"/>
    <mergeCell ref="A140:C140"/>
    <mergeCell ref="E140:F140"/>
    <mergeCell ref="I140:J140"/>
    <mergeCell ref="A141:J141"/>
    <mergeCell ref="A142:C142"/>
    <mergeCell ref="E142:F142"/>
    <mergeCell ref="I142:J142"/>
    <mergeCell ref="A138:C138"/>
    <mergeCell ref="E138:F138"/>
    <mergeCell ref="I138:J138"/>
    <mergeCell ref="A139:C139"/>
    <mergeCell ref="E139:F139"/>
    <mergeCell ref="I139:J139"/>
    <mergeCell ref="A136:C136"/>
    <mergeCell ref="E136:F136"/>
    <mergeCell ref="I136:J136"/>
    <mergeCell ref="A137:C137"/>
    <mergeCell ref="E137:F137"/>
    <mergeCell ref="I137:J137"/>
    <mergeCell ref="A134:C134"/>
    <mergeCell ref="E134:F134"/>
    <mergeCell ref="I134:J134"/>
    <mergeCell ref="A135:C135"/>
    <mergeCell ref="E135:F135"/>
    <mergeCell ref="I135:J135"/>
    <mergeCell ref="A124:D124"/>
    <mergeCell ref="E124:G124"/>
    <mergeCell ref="H124:J124"/>
    <mergeCell ref="B131:I131"/>
    <mergeCell ref="B132:I132"/>
    <mergeCell ref="A133:J133"/>
    <mergeCell ref="A122:D122"/>
    <mergeCell ref="E122:G122"/>
    <mergeCell ref="H122:J122"/>
    <mergeCell ref="A123:D123"/>
    <mergeCell ref="E123:G123"/>
    <mergeCell ref="H123:J123"/>
    <mergeCell ref="A120:D120"/>
    <mergeCell ref="E120:G120"/>
    <mergeCell ref="H120:J120"/>
    <mergeCell ref="A121:D121"/>
    <mergeCell ref="E121:G121"/>
    <mergeCell ref="H121:J121"/>
    <mergeCell ref="A118:D118"/>
    <mergeCell ref="E118:G118"/>
    <mergeCell ref="H118:J118"/>
    <mergeCell ref="A119:D119"/>
    <mergeCell ref="E119:G119"/>
    <mergeCell ref="H119:J119"/>
    <mergeCell ref="A116:D116"/>
    <mergeCell ref="E116:G116"/>
    <mergeCell ref="H116:J116"/>
    <mergeCell ref="A117:D117"/>
    <mergeCell ref="E117:G117"/>
    <mergeCell ref="H117:J117"/>
    <mergeCell ref="A112:J112"/>
    <mergeCell ref="A113:J113"/>
    <mergeCell ref="A114:J114"/>
    <mergeCell ref="A115:D115"/>
    <mergeCell ref="E115:G115"/>
    <mergeCell ref="H115:J115"/>
    <mergeCell ref="A110:C110"/>
    <mergeCell ref="E110:F110"/>
    <mergeCell ref="I110:J110"/>
    <mergeCell ref="A111:C111"/>
    <mergeCell ref="E111:F111"/>
    <mergeCell ref="I111:J111"/>
    <mergeCell ref="B106:I106"/>
    <mergeCell ref="B107:I107"/>
    <mergeCell ref="A108:J108"/>
    <mergeCell ref="A109:C109"/>
    <mergeCell ref="E109:F109"/>
    <mergeCell ref="I109:J109"/>
    <mergeCell ref="A97:D97"/>
    <mergeCell ref="E97:G97"/>
    <mergeCell ref="H97:J97"/>
    <mergeCell ref="A98:D98"/>
    <mergeCell ref="E98:G98"/>
    <mergeCell ref="H98:J98"/>
    <mergeCell ref="A95:D95"/>
    <mergeCell ref="E95:G95"/>
    <mergeCell ref="H95:J95"/>
    <mergeCell ref="A96:D96"/>
    <mergeCell ref="E96:G96"/>
    <mergeCell ref="H96:J96"/>
    <mergeCell ref="A93:D93"/>
    <mergeCell ref="E93:G93"/>
    <mergeCell ref="H93:J93"/>
    <mergeCell ref="A94:D94"/>
    <mergeCell ref="E94:G94"/>
    <mergeCell ref="H94:J94"/>
    <mergeCell ref="A91:D91"/>
    <mergeCell ref="E91:G91"/>
    <mergeCell ref="H91:J91"/>
    <mergeCell ref="A92:D92"/>
    <mergeCell ref="E92:G92"/>
    <mergeCell ref="H92:J92"/>
    <mergeCell ref="A87:J87"/>
    <mergeCell ref="A88:J88"/>
    <mergeCell ref="A89:D89"/>
    <mergeCell ref="E89:G89"/>
    <mergeCell ref="H89:J89"/>
    <mergeCell ref="A90:D90"/>
    <mergeCell ref="E90:G90"/>
    <mergeCell ref="H90:J90"/>
    <mergeCell ref="A85:C85"/>
    <mergeCell ref="E85:F85"/>
    <mergeCell ref="I85:J85"/>
    <mergeCell ref="A86:C86"/>
    <mergeCell ref="E86:F86"/>
    <mergeCell ref="I86:J86"/>
    <mergeCell ref="F82:I82"/>
    <mergeCell ref="B83:D83"/>
    <mergeCell ref="F83:G83"/>
    <mergeCell ref="J83:K83"/>
    <mergeCell ref="A84:C84"/>
    <mergeCell ref="E84:F84"/>
    <mergeCell ref="I84:J84"/>
    <mergeCell ref="B80:D80"/>
    <mergeCell ref="F80:G80"/>
    <mergeCell ref="J80:K80"/>
    <mergeCell ref="B81:D81"/>
    <mergeCell ref="F81:I81"/>
    <mergeCell ref="J81:K81"/>
    <mergeCell ref="B78:D78"/>
    <mergeCell ref="F78:G78"/>
    <mergeCell ref="J78:K78"/>
    <mergeCell ref="A79:D79"/>
    <mergeCell ref="F79:G79"/>
    <mergeCell ref="J79:K79"/>
    <mergeCell ref="A44:E44"/>
    <mergeCell ref="F44:H44"/>
    <mergeCell ref="I44:K44"/>
    <mergeCell ref="A45:E45"/>
    <mergeCell ref="F45:H45"/>
    <mergeCell ref="I45:K45"/>
    <mergeCell ref="B51:C51"/>
    <mergeCell ref="F51:G51"/>
    <mergeCell ref="B52:C52"/>
    <mergeCell ref="F52:G52"/>
    <mergeCell ref="A53:D53"/>
    <mergeCell ref="E53:J53"/>
    <mergeCell ref="B47:J47"/>
    <mergeCell ref="B48:J48"/>
    <mergeCell ref="B49:K49"/>
    <mergeCell ref="F50:G50"/>
    <mergeCell ref="F55:G55"/>
    <mergeCell ref="A56:C56"/>
    <mergeCell ref="A42:E42"/>
    <mergeCell ref="F42:H42"/>
    <mergeCell ref="I42:K42"/>
    <mergeCell ref="A43:E43"/>
    <mergeCell ref="F43:H43"/>
    <mergeCell ref="I43:K43"/>
    <mergeCell ref="A40:E40"/>
    <mergeCell ref="F40:H40"/>
    <mergeCell ref="I40:K40"/>
    <mergeCell ref="A41:E41"/>
    <mergeCell ref="F41:H41"/>
    <mergeCell ref="I41:K41"/>
    <mergeCell ref="A38:E38"/>
    <mergeCell ref="F38:H38"/>
    <mergeCell ref="I38:K38"/>
    <mergeCell ref="A39:E39"/>
    <mergeCell ref="F39:H39"/>
    <mergeCell ref="I39:K39"/>
    <mergeCell ref="A35:K35"/>
    <mergeCell ref="A36:E36"/>
    <mergeCell ref="F36:H36"/>
    <mergeCell ref="I36:K36"/>
    <mergeCell ref="A37:E37"/>
    <mergeCell ref="F37:H37"/>
    <mergeCell ref="I37:K37"/>
    <mergeCell ref="A18:D18"/>
    <mergeCell ref="E18:J18"/>
    <mergeCell ref="B34:D34"/>
    <mergeCell ref="F34:G34"/>
    <mergeCell ref="J34:K34"/>
    <mergeCell ref="F21:G21"/>
    <mergeCell ref="B14:K14"/>
    <mergeCell ref="F15:G15"/>
    <mergeCell ref="F17:G17"/>
    <mergeCell ref="A22:D22"/>
    <mergeCell ref="E22:J22"/>
    <mergeCell ref="A21:C21"/>
    <mergeCell ref="F24:G24"/>
    <mergeCell ref="F25:G25"/>
    <mergeCell ref="B24:D24"/>
    <mergeCell ref="B25:D25"/>
    <mergeCell ref="J24:K24"/>
    <mergeCell ref="B32:D32"/>
    <mergeCell ref="F32:G32"/>
    <mergeCell ref="H32:I32"/>
    <mergeCell ref="J32:K32"/>
    <mergeCell ref="A33:D33"/>
    <mergeCell ref="E33:J33"/>
    <mergeCell ref="H24:I24"/>
    <mergeCell ref="A8:K8"/>
    <mergeCell ref="A9:J9"/>
    <mergeCell ref="A10:K10"/>
    <mergeCell ref="B11:K11"/>
    <mergeCell ref="B12:J12"/>
    <mergeCell ref="B13:J13"/>
    <mergeCell ref="A1:K2"/>
    <mergeCell ref="A3:K3"/>
    <mergeCell ref="A4:K4"/>
    <mergeCell ref="B5:K5"/>
    <mergeCell ref="B6:K6"/>
    <mergeCell ref="A7:K7"/>
  </mergeCells>
  <printOptions horizontalCentered="1"/>
  <pageMargins left="0.59055118110236227" right="0.59055118110236227" top="0.59055118110236227" bottom="0.39370078740157483" header="0.31496062992125984" footer="0.31496062992125984"/>
  <pageSetup scale="82" orientation="portrait" horizontalDpi="4294967293" r:id="rId1"/>
  <headerFooter>
    <oddHeader>Página &amp;P de &amp;N</oddHeader>
  </headerFooter>
  <rowBreaks count="1" manualBreakCount="1">
    <brk id="46" max="10"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4"/>
  <sheetViews>
    <sheetView view="pageBreakPreview" topLeftCell="A19" zoomScaleNormal="115" zoomScaleSheetLayoutView="100" workbookViewId="0">
      <selection activeCell="E18" sqref="E18:J18"/>
    </sheetView>
  </sheetViews>
  <sheetFormatPr defaultRowHeight="12.75" x14ac:dyDescent="0.2"/>
  <cols>
    <col min="1" max="3" width="9.140625" style="71"/>
    <col min="4" max="4" width="9.7109375" style="71" customWidth="1"/>
    <col min="5" max="6" width="9.140625" style="71"/>
    <col min="7" max="7" width="9.42578125" style="71" customWidth="1"/>
    <col min="8" max="8" width="12.28515625" style="71" customWidth="1"/>
    <col min="9" max="9" width="12.5703125" style="71" customWidth="1"/>
    <col min="10" max="10" width="8.28515625" style="71" customWidth="1"/>
    <col min="11" max="16384" width="9.140625" style="71"/>
  </cols>
  <sheetData>
    <row r="1" spans="1:11" ht="23.25" customHeight="1" x14ac:dyDescent="0.2">
      <c r="A1" s="414" t="s">
        <v>26</v>
      </c>
      <c r="B1" s="415"/>
      <c r="C1" s="415"/>
      <c r="D1" s="415"/>
      <c r="E1" s="415"/>
      <c r="F1" s="415"/>
      <c r="G1" s="415"/>
      <c r="H1" s="415"/>
      <c r="I1" s="415"/>
      <c r="J1" s="415"/>
      <c r="K1" s="416"/>
    </row>
    <row r="2" spans="1:11" ht="18.75" customHeight="1" x14ac:dyDescent="0.2">
      <c r="A2" s="417"/>
      <c r="B2" s="418"/>
      <c r="C2" s="418"/>
      <c r="D2" s="418"/>
      <c r="E2" s="418"/>
      <c r="F2" s="418"/>
      <c r="G2" s="418"/>
      <c r="H2" s="418"/>
      <c r="I2" s="418"/>
      <c r="J2" s="418"/>
      <c r="K2" s="419"/>
    </row>
    <row r="3" spans="1:11" ht="15.75" x14ac:dyDescent="0.2">
      <c r="A3" s="420" t="s">
        <v>27</v>
      </c>
      <c r="B3" s="420"/>
      <c r="C3" s="420"/>
      <c r="D3" s="420"/>
      <c r="E3" s="420"/>
      <c r="F3" s="420"/>
      <c r="G3" s="420"/>
      <c r="H3" s="420"/>
      <c r="I3" s="420"/>
      <c r="J3" s="420"/>
      <c r="K3" s="421"/>
    </row>
    <row r="4" spans="1:11" x14ac:dyDescent="0.2">
      <c r="A4" s="406"/>
      <c r="B4" s="406"/>
      <c r="C4" s="406"/>
      <c r="D4" s="406"/>
      <c r="E4" s="406"/>
      <c r="F4" s="406"/>
      <c r="G4" s="406"/>
      <c r="H4" s="406"/>
      <c r="I4" s="406"/>
      <c r="J4" s="406"/>
      <c r="K4" s="406"/>
    </row>
    <row r="5" spans="1:11" ht="12.75" customHeight="1" x14ac:dyDescent="0.2">
      <c r="A5" s="93" t="s">
        <v>2</v>
      </c>
      <c r="B5" s="422" t="str">
        <f>PLANILHA!B3</f>
        <v>CONSTRUÇÃO DE ESTAÇÃO DE TRATAMENTO DE ÁGUA DE CASTELINHO</v>
      </c>
      <c r="C5" s="423"/>
      <c r="D5" s="423"/>
      <c r="E5" s="423"/>
      <c r="F5" s="423"/>
      <c r="G5" s="423"/>
      <c r="H5" s="423"/>
      <c r="I5" s="423"/>
      <c r="J5" s="423"/>
      <c r="K5" s="424"/>
    </row>
    <row r="6" spans="1:11" x14ac:dyDescent="0.2">
      <c r="A6" s="94" t="s">
        <v>3</v>
      </c>
      <c r="B6" s="422" t="str">
        <f>PLANILHA!B4</f>
        <v>CASTELINHO- VARGEM ALTA - ES</v>
      </c>
      <c r="C6" s="423"/>
      <c r="D6" s="423"/>
      <c r="E6" s="423"/>
      <c r="F6" s="423"/>
      <c r="G6" s="423"/>
      <c r="H6" s="423"/>
      <c r="I6" s="423"/>
      <c r="J6" s="423"/>
      <c r="K6" s="424"/>
    </row>
    <row r="7" spans="1:11" x14ac:dyDescent="0.2">
      <c r="A7" s="425"/>
      <c r="B7" s="426"/>
      <c r="C7" s="426"/>
      <c r="D7" s="426"/>
      <c r="E7" s="426"/>
      <c r="F7" s="426"/>
      <c r="G7" s="426"/>
      <c r="H7" s="426"/>
      <c r="I7" s="426"/>
      <c r="J7" s="426"/>
      <c r="K7" s="427"/>
    </row>
    <row r="8" spans="1:11" ht="15.75" x14ac:dyDescent="0.2">
      <c r="A8" s="405" t="s">
        <v>126</v>
      </c>
      <c r="B8" s="405"/>
      <c r="C8" s="405"/>
      <c r="D8" s="405"/>
      <c r="E8" s="405"/>
      <c r="F8" s="405"/>
      <c r="G8" s="405"/>
      <c r="H8" s="405"/>
      <c r="I8" s="405"/>
      <c r="J8" s="405"/>
      <c r="K8" s="405"/>
    </row>
    <row r="9" spans="1:11" x14ac:dyDescent="0.2">
      <c r="A9" s="406"/>
      <c r="B9" s="406"/>
      <c r="C9" s="406"/>
      <c r="D9" s="406"/>
      <c r="E9" s="406"/>
      <c r="F9" s="406"/>
      <c r="G9" s="406"/>
      <c r="H9" s="406"/>
      <c r="I9" s="406"/>
      <c r="J9" s="406"/>
    </row>
    <row r="10" spans="1:11" x14ac:dyDescent="0.2">
      <c r="A10" s="407" t="s">
        <v>218</v>
      </c>
      <c r="B10" s="408"/>
      <c r="C10" s="408"/>
      <c r="D10" s="408"/>
      <c r="E10" s="408"/>
      <c r="F10" s="408"/>
      <c r="G10" s="408"/>
      <c r="H10" s="408"/>
      <c r="I10" s="408"/>
      <c r="J10" s="408"/>
      <c r="K10" s="409"/>
    </row>
    <row r="11" spans="1:11" ht="14.25" customHeight="1" x14ac:dyDescent="0.2">
      <c r="B11" s="406"/>
      <c r="C11" s="406"/>
      <c r="D11" s="406"/>
      <c r="E11" s="406"/>
      <c r="F11" s="406"/>
      <c r="G11" s="406"/>
      <c r="H11" s="406"/>
      <c r="I11" s="406"/>
      <c r="J11" s="406"/>
      <c r="K11" s="406"/>
    </row>
    <row r="12" spans="1:11" x14ac:dyDescent="0.2">
      <c r="A12" s="95" t="s">
        <v>28</v>
      </c>
      <c r="B12" s="410" t="s">
        <v>29</v>
      </c>
      <c r="C12" s="410"/>
      <c r="D12" s="410"/>
      <c r="E12" s="410"/>
      <c r="F12" s="410"/>
      <c r="G12" s="410"/>
      <c r="H12" s="410"/>
      <c r="I12" s="410"/>
      <c r="J12" s="411"/>
      <c r="K12" s="96" t="s">
        <v>30</v>
      </c>
    </row>
    <row r="13" spans="1:11" x14ac:dyDescent="0.2">
      <c r="A13" s="97" t="s">
        <v>108</v>
      </c>
      <c r="B13" s="412" t="s">
        <v>87</v>
      </c>
      <c r="C13" s="413"/>
      <c r="D13" s="413"/>
      <c r="E13" s="413"/>
      <c r="F13" s="413"/>
      <c r="G13" s="413"/>
      <c r="H13" s="413"/>
      <c r="I13" s="413"/>
      <c r="J13" s="413"/>
      <c r="K13" s="98" t="s">
        <v>38</v>
      </c>
    </row>
    <row r="14" spans="1:11" x14ac:dyDescent="0.2">
      <c r="B14" s="437"/>
      <c r="C14" s="437"/>
      <c r="D14" s="437"/>
      <c r="E14" s="437"/>
      <c r="F14" s="437"/>
      <c r="G14" s="437"/>
      <c r="H14" s="437"/>
      <c r="I14" s="437"/>
      <c r="J14" s="437"/>
      <c r="K14" s="435"/>
    </row>
    <row r="15" spans="1:11" x14ac:dyDescent="0.2">
      <c r="A15" s="99" t="s">
        <v>88</v>
      </c>
      <c r="B15" s="99" t="s">
        <v>31</v>
      </c>
      <c r="C15" s="100"/>
      <c r="D15" s="101"/>
      <c r="E15" s="102" t="s">
        <v>32</v>
      </c>
      <c r="F15" s="438" t="s">
        <v>33</v>
      </c>
      <c r="G15" s="438"/>
      <c r="H15" s="102" t="s">
        <v>34</v>
      </c>
      <c r="I15" s="102" t="s">
        <v>35</v>
      </c>
      <c r="J15" s="103" t="s">
        <v>89</v>
      </c>
      <c r="K15" s="104"/>
    </row>
    <row r="16" spans="1:11" ht="24" customHeight="1" x14ac:dyDescent="0.2">
      <c r="A16" s="105">
        <v>90777</v>
      </c>
      <c r="B16" s="475" t="s">
        <v>90</v>
      </c>
      <c r="C16" s="476"/>
      <c r="D16" s="494"/>
      <c r="E16" s="102" t="s">
        <v>37</v>
      </c>
      <c r="F16" s="436">
        <v>1</v>
      </c>
      <c r="G16" s="436"/>
      <c r="H16" s="17">
        <v>81.36</v>
      </c>
      <c r="I16" s="92">
        <f>H16*F16</f>
        <v>81.36</v>
      </c>
      <c r="J16" s="106">
        <v>44</v>
      </c>
      <c r="K16" s="107">
        <f>J16*I16</f>
        <v>3579.84</v>
      </c>
    </row>
    <row r="17" spans="1:13" ht="24.75" customHeight="1" x14ac:dyDescent="0.2">
      <c r="A17" s="108">
        <v>90776</v>
      </c>
      <c r="B17" s="475" t="s">
        <v>91</v>
      </c>
      <c r="C17" s="476"/>
      <c r="D17" s="494"/>
      <c r="E17" s="109" t="s">
        <v>37</v>
      </c>
      <c r="F17" s="439">
        <v>1</v>
      </c>
      <c r="G17" s="439"/>
      <c r="H17" s="110">
        <v>31.51</v>
      </c>
      <c r="I17" s="92">
        <f>H17*F17</f>
        <v>31.51</v>
      </c>
      <c r="J17" s="111">
        <v>180</v>
      </c>
      <c r="K17" s="107">
        <f>J17*I17</f>
        <v>5671.8</v>
      </c>
      <c r="L17" s="71">
        <f>8*5*4</f>
        <v>160</v>
      </c>
      <c r="M17" s="71">
        <f>L17*4</f>
        <v>640</v>
      </c>
    </row>
    <row r="18" spans="1:13" x14ac:dyDescent="0.2">
      <c r="A18" s="428" t="s">
        <v>36</v>
      </c>
      <c r="B18" s="429"/>
      <c r="C18" s="429"/>
      <c r="D18" s="430"/>
      <c r="E18" s="431"/>
      <c r="F18" s="432"/>
      <c r="G18" s="432"/>
      <c r="H18" s="432"/>
      <c r="I18" s="432"/>
      <c r="J18" s="433"/>
      <c r="K18" s="112">
        <f>K16+K17</f>
        <v>9251.64</v>
      </c>
    </row>
    <row r="19" spans="1:13" ht="14.25" customHeight="1" x14ac:dyDescent="0.2">
      <c r="B19" s="435"/>
      <c r="C19" s="435"/>
      <c r="D19" s="435"/>
      <c r="E19" s="435"/>
      <c r="F19" s="435"/>
      <c r="G19" s="435"/>
      <c r="H19" s="435"/>
      <c r="I19" s="435"/>
      <c r="J19" s="435"/>
      <c r="K19" s="435"/>
    </row>
    <row r="20" spans="1:13" ht="14.25" customHeight="1" x14ac:dyDescent="0.2">
      <c r="B20" s="434"/>
      <c r="C20" s="434"/>
      <c r="D20" s="434"/>
      <c r="E20" s="113"/>
      <c r="F20" s="435"/>
      <c r="G20" s="435"/>
      <c r="H20" s="113"/>
      <c r="I20" s="113"/>
      <c r="J20" s="435"/>
      <c r="K20" s="435"/>
    </row>
    <row r="21" spans="1:13" ht="26.25" customHeight="1" x14ac:dyDescent="0.2">
      <c r="A21" s="452" t="s">
        <v>39</v>
      </c>
      <c r="B21" s="453"/>
      <c r="C21" s="453"/>
      <c r="D21" s="453"/>
      <c r="E21" s="453"/>
      <c r="F21" s="453"/>
      <c r="G21" s="453"/>
      <c r="H21" s="453"/>
      <c r="I21" s="453"/>
      <c r="J21" s="453"/>
      <c r="K21" s="454"/>
    </row>
    <row r="22" spans="1:13" ht="27" customHeight="1" x14ac:dyDescent="0.2">
      <c r="A22" s="452" t="s">
        <v>40</v>
      </c>
      <c r="B22" s="453"/>
      <c r="C22" s="453"/>
      <c r="D22" s="453"/>
      <c r="E22" s="454"/>
      <c r="F22" s="455" t="s">
        <v>41</v>
      </c>
      <c r="G22" s="455"/>
      <c r="H22" s="455"/>
      <c r="I22" s="455" t="s">
        <v>42</v>
      </c>
      <c r="J22" s="455"/>
      <c r="K22" s="455"/>
    </row>
    <row r="23" spans="1:13" ht="26.25" customHeight="1" x14ac:dyDescent="0.2">
      <c r="A23" s="440" t="s">
        <v>43</v>
      </c>
      <c r="B23" s="441"/>
      <c r="C23" s="441"/>
      <c r="D23" s="441"/>
      <c r="E23" s="442"/>
      <c r="F23" s="450"/>
      <c r="G23" s="438"/>
      <c r="H23" s="438"/>
      <c r="I23" s="451">
        <f>K18</f>
        <v>9251.64</v>
      </c>
      <c r="J23" s="451"/>
      <c r="K23" s="451"/>
    </row>
    <row r="24" spans="1:13" x14ac:dyDescent="0.2">
      <c r="A24" s="440" t="s">
        <v>44</v>
      </c>
      <c r="B24" s="441"/>
      <c r="C24" s="441"/>
      <c r="D24" s="441"/>
      <c r="E24" s="442"/>
      <c r="F24" s="450"/>
      <c r="G24" s="438"/>
      <c r="H24" s="438"/>
      <c r="I24" s="451">
        <f>J14</f>
        <v>0</v>
      </c>
      <c r="J24" s="451"/>
      <c r="K24" s="451"/>
    </row>
    <row r="25" spans="1:13" ht="27.75" customHeight="1" x14ac:dyDescent="0.2">
      <c r="A25" s="440" t="s">
        <v>45</v>
      </c>
      <c r="B25" s="441"/>
      <c r="C25" s="441"/>
      <c r="D25" s="441"/>
      <c r="E25" s="442"/>
      <c r="F25" s="450"/>
      <c r="G25" s="438"/>
      <c r="H25" s="438"/>
      <c r="I25" s="451">
        <f>J19</f>
        <v>0</v>
      </c>
      <c r="J25" s="451"/>
      <c r="K25" s="451"/>
    </row>
    <row r="26" spans="1:13" ht="28.5" customHeight="1" x14ac:dyDescent="0.2">
      <c r="A26" s="440" t="s">
        <v>109</v>
      </c>
      <c r="B26" s="441"/>
      <c r="C26" s="441"/>
      <c r="D26" s="441"/>
      <c r="E26" s="442"/>
      <c r="F26" s="464"/>
      <c r="G26" s="464"/>
      <c r="H26" s="464"/>
      <c r="I26" s="451"/>
      <c r="J26" s="451"/>
      <c r="K26" s="451"/>
    </row>
    <row r="27" spans="1:13" x14ac:dyDescent="0.2">
      <c r="A27" s="465" t="s">
        <v>46</v>
      </c>
      <c r="B27" s="466"/>
      <c r="C27" s="466"/>
      <c r="D27" s="466"/>
      <c r="E27" s="467"/>
      <c r="F27" s="438"/>
      <c r="G27" s="438"/>
      <c r="H27" s="438"/>
      <c r="I27" s="463">
        <f>I23+I24+I25+I26</f>
        <v>9251.64</v>
      </c>
      <c r="J27" s="463"/>
      <c r="K27" s="463"/>
    </row>
    <row r="28" spans="1:13" x14ac:dyDescent="0.2">
      <c r="A28" s="456"/>
      <c r="B28" s="457"/>
      <c r="C28" s="457"/>
      <c r="D28" s="457"/>
      <c r="E28" s="458"/>
      <c r="F28" s="459"/>
      <c r="G28" s="460"/>
      <c r="H28" s="461"/>
      <c r="I28" s="448"/>
      <c r="J28" s="462"/>
      <c r="K28" s="449"/>
    </row>
    <row r="29" spans="1:13" ht="26.25" customHeight="1" x14ac:dyDescent="0.2">
      <c r="A29" s="428" t="s">
        <v>47</v>
      </c>
      <c r="B29" s="429"/>
      <c r="C29" s="429"/>
      <c r="D29" s="429"/>
      <c r="E29" s="430"/>
      <c r="F29" s="438"/>
      <c r="G29" s="438"/>
      <c r="H29" s="438"/>
      <c r="I29" s="463">
        <f>I27+I28</f>
        <v>9251.64</v>
      </c>
      <c r="J29" s="463"/>
      <c r="K29" s="463"/>
    </row>
    <row r="30" spans="1:13" x14ac:dyDescent="0.2">
      <c r="A30" s="471" t="s">
        <v>48</v>
      </c>
      <c r="B30" s="472"/>
      <c r="C30" s="472"/>
      <c r="D30" s="472"/>
      <c r="E30" s="473"/>
      <c r="F30" s="464">
        <v>0.31900000000000001</v>
      </c>
      <c r="G30" s="464"/>
      <c r="H30" s="464"/>
      <c r="I30" s="451">
        <f>F30*I29</f>
        <v>2951.2731599999997</v>
      </c>
      <c r="J30" s="451"/>
      <c r="K30" s="451"/>
    </row>
    <row r="31" spans="1:13" ht="24.75" customHeight="1" x14ac:dyDescent="0.2">
      <c r="A31" s="452" t="s">
        <v>49</v>
      </c>
      <c r="B31" s="453"/>
      <c r="C31" s="453"/>
      <c r="D31" s="453"/>
      <c r="E31" s="454"/>
      <c r="F31" s="474"/>
      <c r="G31" s="474"/>
      <c r="H31" s="474"/>
      <c r="I31" s="463">
        <f>I29+I30</f>
        <v>12202.91316</v>
      </c>
      <c r="J31" s="463"/>
      <c r="K31" s="463"/>
    </row>
    <row r="32" spans="1:13" ht="27" customHeight="1" x14ac:dyDescent="0.2">
      <c r="B32" s="468"/>
      <c r="C32" s="468"/>
      <c r="D32" s="468"/>
      <c r="E32" s="113"/>
      <c r="F32" s="469"/>
      <c r="G32" s="469"/>
      <c r="H32" s="19"/>
      <c r="I32" s="20"/>
      <c r="J32" s="470"/>
      <c r="K32" s="470"/>
    </row>
    <row r="33" spans="1:11" ht="12.75" customHeight="1" x14ac:dyDescent="0.2">
      <c r="A33" s="435" t="str">
        <f>PLANILHA!A67</f>
        <v>Vargem Alta/ES, 03 de Novembro de 2021.</v>
      </c>
      <c r="B33" s="435"/>
      <c r="C33" s="435"/>
      <c r="D33" s="435"/>
      <c r="E33" s="113"/>
      <c r="F33" s="469"/>
      <c r="G33" s="469"/>
      <c r="H33" s="19"/>
      <c r="I33" s="20"/>
      <c r="J33" s="470"/>
      <c r="K33" s="470"/>
    </row>
    <row r="34" spans="1:11" ht="24" customHeight="1" x14ac:dyDescent="0.2">
      <c r="B34" s="480"/>
      <c r="C34" s="480"/>
      <c r="D34" s="480"/>
      <c r="E34" s="113"/>
      <c r="F34" s="469"/>
      <c r="G34" s="469"/>
      <c r="H34" s="19"/>
      <c r="I34" s="20"/>
      <c r="J34" s="470"/>
      <c r="K34" s="470"/>
    </row>
    <row r="35" spans="1:11" x14ac:dyDescent="0.2">
      <c r="B35" s="434"/>
      <c r="C35" s="434"/>
      <c r="D35" s="434"/>
      <c r="E35" s="113"/>
      <c r="F35" s="481" t="s">
        <v>201</v>
      </c>
      <c r="G35" s="481"/>
      <c r="H35" s="481"/>
      <c r="I35" s="481"/>
      <c r="J35" s="482"/>
      <c r="K35" s="482"/>
    </row>
    <row r="36" spans="1:11" x14ac:dyDescent="0.2">
      <c r="B36" s="114"/>
      <c r="C36" s="114"/>
      <c r="D36" s="114"/>
      <c r="E36" s="114"/>
      <c r="F36" s="435" t="s">
        <v>203</v>
      </c>
      <c r="G36" s="435"/>
      <c r="H36" s="435"/>
      <c r="I36" s="435"/>
      <c r="J36" s="114"/>
      <c r="K36" s="114"/>
    </row>
    <row r="37" spans="1:11" x14ac:dyDescent="0.2">
      <c r="B37" s="434"/>
      <c r="C37" s="434"/>
      <c r="D37" s="434"/>
      <c r="E37" s="113"/>
      <c r="F37" s="435"/>
      <c r="G37" s="435"/>
      <c r="H37" s="113"/>
      <c r="I37" s="113"/>
      <c r="J37" s="435"/>
      <c r="K37" s="435"/>
    </row>
    <row r="38" spans="1:11" x14ac:dyDescent="0.2">
      <c r="A38" s="479"/>
      <c r="B38" s="479"/>
      <c r="C38" s="479"/>
      <c r="D38" s="113"/>
      <c r="E38" s="469"/>
      <c r="F38" s="469"/>
      <c r="G38" s="19"/>
      <c r="H38" s="20"/>
      <c r="I38" s="470"/>
      <c r="J38" s="470"/>
    </row>
    <row r="39" spans="1:11" x14ac:dyDescent="0.2">
      <c r="A39" s="480"/>
      <c r="B39" s="480"/>
      <c r="C39" s="480"/>
      <c r="D39" s="113"/>
      <c r="E39" s="470"/>
      <c r="F39" s="470"/>
      <c r="G39" s="19"/>
      <c r="H39" s="20"/>
      <c r="I39" s="470"/>
      <c r="J39" s="470"/>
    </row>
    <row r="40" spans="1:11" x14ac:dyDescent="0.2">
      <c r="A40" s="434"/>
      <c r="B40" s="434"/>
      <c r="C40" s="434"/>
      <c r="D40" s="115"/>
      <c r="E40" s="470"/>
      <c r="F40" s="470"/>
      <c r="G40" s="115"/>
      <c r="H40" s="115"/>
      <c r="I40" s="482"/>
      <c r="J40" s="482"/>
    </row>
    <row r="41" spans="1:11" x14ac:dyDescent="0.2">
      <c r="A41" s="435"/>
      <c r="B41" s="435"/>
      <c r="C41" s="435"/>
      <c r="D41" s="435"/>
      <c r="E41" s="435"/>
      <c r="F41" s="435"/>
      <c r="G41" s="435"/>
      <c r="H41" s="435"/>
      <c r="I41" s="435"/>
      <c r="J41" s="435"/>
    </row>
    <row r="42" spans="1:11" x14ac:dyDescent="0.2">
      <c r="A42" s="483"/>
      <c r="B42" s="483"/>
      <c r="C42" s="483"/>
      <c r="D42" s="483"/>
      <c r="E42" s="483"/>
      <c r="F42" s="483"/>
      <c r="G42" s="483"/>
      <c r="H42" s="483"/>
      <c r="I42" s="483"/>
      <c r="J42" s="483"/>
    </row>
    <row r="43" spans="1:11" x14ac:dyDescent="0.2">
      <c r="A43" s="483"/>
      <c r="B43" s="483"/>
      <c r="C43" s="483"/>
      <c r="D43" s="483"/>
      <c r="E43" s="434"/>
      <c r="F43" s="434"/>
      <c r="G43" s="434"/>
      <c r="H43" s="434"/>
      <c r="I43" s="434"/>
      <c r="J43" s="434"/>
    </row>
    <row r="44" spans="1:11" x14ac:dyDescent="0.2">
      <c r="A44" s="480"/>
      <c r="B44" s="480"/>
      <c r="C44" s="480"/>
      <c r="D44" s="480"/>
      <c r="E44" s="484"/>
      <c r="F44" s="435"/>
      <c r="G44" s="435"/>
      <c r="H44" s="470"/>
      <c r="I44" s="470"/>
      <c r="J44" s="470"/>
    </row>
    <row r="45" spans="1:11" x14ac:dyDescent="0.2">
      <c r="A45" s="480"/>
      <c r="B45" s="480"/>
      <c r="C45" s="480"/>
      <c r="D45" s="480"/>
      <c r="E45" s="484"/>
      <c r="F45" s="435"/>
      <c r="G45" s="435"/>
      <c r="H45" s="470"/>
      <c r="I45" s="470"/>
      <c r="J45" s="470"/>
    </row>
    <row r="46" spans="1:11" x14ac:dyDescent="0.2">
      <c r="A46" s="480"/>
      <c r="B46" s="480"/>
      <c r="C46" s="480"/>
      <c r="D46" s="480"/>
      <c r="E46" s="484"/>
      <c r="F46" s="435"/>
      <c r="G46" s="435"/>
      <c r="H46" s="470"/>
      <c r="I46" s="470"/>
      <c r="J46" s="470"/>
    </row>
    <row r="47" spans="1:11" x14ac:dyDescent="0.2">
      <c r="A47" s="480"/>
      <c r="B47" s="480"/>
      <c r="C47" s="480"/>
      <c r="D47" s="480"/>
      <c r="E47" s="485"/>
      <c r="F47" s="485"/>
      <c r="G47" s="485"/>
      <c r="H47" s="470"/>
      <c r="I47" s="470"/>
      <c r="J47" s="470"/>
    </row>
    <row r="48" spans="1:11" x14ac:dyDescent="0.2">
      <c r="A48" s="486"/>
      <c r="B48" s="486"/>
      <c r="C48" s="486"/>
      <c r="D48" s="486"/>
      <c r="E48" s="435"/>
      <c r="F48" s="435"/>
      <c r="G48" s="435"/>
      <c r="H48" s="482"/>
      <c r="I48" s="482"/>
      <c r="J48" s="482"/>
    </row>
    <row r="49" spans="1:10" x14ac:dyDescent="0.2">
      <c r="A49" s="480"/>
      <c r="B49" s="480"/>
      <c r="C49" s="480"/>
      <c r="D49" s="480"/>
      <c r="E49" s="485"/>
      <c r="F49" s="485"/>
      <c r="G49" s="485"/>
      <c r="H49" s="470"/>
      <c r="I49" s="470"/>
      <c r="J49" s="470"/>
    </row>
    <row r="50" spans="1:10" x14ac:dyDescent="0.2">
      <c r="A50" s="434"/>
      <c r="B50" s="434"/>
      <c r="C50" s="434"/>
      <c r="D50" s="434"/>
      <c r="E50" s="435"/>
      <c r="F50" s="435"/>
      <c r="G50" s="435"/>
      <c r="H50" s="482"/>
      <c r="I50" s="482"/>
      <c r="J50" s="482"/>
    </row>
    <row r="51" spans="1:10" x14ac:dyDescent="0.2">
      <c r="A51" s="480"/>
      <c r="B51" s="480"/>
      <c r="C51" s="480"/>
      <c r="D51" s="480"/>
      <c r="E51" s="485"/>
      <c r="F51" s="485"/>
      <c r="G51" s="485"/>
      <c r="H51" s="470"/>
      <c r="I51" s="470"/>
      <c r="J51" s="470"/>
    </row>
    <row r="52" spans="1:10" x14ac:dyDescent="0.2">
      <c r="A52" s="483"/>
      <c r="B52" s="483"/>
      <c r="C52" s="483"/>
      <c r="D52" s="483"/>
      <c r="E52" s="487"/>
      <c r="F52" s="487"/>
      <c r="G52" s="487"/>
      <c r="H52" s="482"/>
      <c r="I52" s="482"/>
      <c r="J52" s="482"/>
    </row>
    <row r="53" spans="1:10" x14ac:dyDescent="0.2">
      <c r="A53" s="116"/>
      <c r="B53" s="116"/>
      <c r="C53" s="116"/>
      <c r="D53" s="116"/>
      <c r="E53" s="116"/>
      <c r="F53" s="116"/>
      <c r="G53" s="116"/>
      <c r="H53" s="116"/>
      <c r="I53" s="116"/>
      <c r="J53" s="116"/>
    </row>
    <row r="54" spans="1:10" x14ac:dyDescent="0.2">
      <c r="A54" s="116"/>
      <c r="B54" s="116"/>
      <c r="C54" s="116"/>
      <c r="D54" s="116"/>
      <c r="E54" s="116"/>
      <c r="F54" s="116"/>
      <c r="G54" s="116"/>
      <c r="H54" s="116"/>
      <c r="I54" s="116"/>
      <c r="J54" s="116"/>
    </row>
    <row r="55" spans="1:10" x14ac:dyDescent="0.2">
      <c r="A55" s="116"/>
      <c r="B55" s="116"/>
      <c r="C55" s="116"/>
      <c r="D55" s="116"/>
      <c r="E55" s="116"/>
      <c r="F55" s="116"/>
      <c r="G55" s="116"/>
      <c r="H55" s="116"/>
      <c r="I55" s="116"/>
      <c r="J55" s="116"/>
    </row>
    <row r="56" spans="1:10" x14ac:dyDescent="0.2">
      <c r="A56" s="116"/>
      <c r="B56" s="116"/>
      <c r="C56" s="116"/>
      <c r="D56" s="116"/>
      <c r="E56" s="116"/>
      <c r="F56" s="116"/>
      <c r="G56" s="116"/>
      <c r="H56" s="116"/>
      <c r="I56" s="116"/>
      <c r="J56" s="116"/>
    </row>
    <row r="57" spans="1:10" x14ac:dyDescent="0.2">
      <c r="A57" s="116"/>
      <c r="B57" s="116"/>
      <c r="C57" s="116"/>
      <c r="D57" s="116"/>
      <c r="E57" s="116"/>
      <c r="F57" s="116"/>
      <c r="G57" s="116"/>
      <c r="H57" s="116"/>
      <c r="I57" s="116"/>
      <c r="J57" s="116"/>
    </row>
    <row r="58" spans="1:10" x14ac:dyDescent="0.2">
      <c r="A58" s="116"/>
      <c r="B58" s="116"/>
      <c r="C58" s="116"/>
      <c r="D58" s="116"/>
      <c r="E58" s="116"/>
      <c r="F58" s="116"/>
      <c r="G58" s="116"/>
      <c r="H58" s="116"/>
      <c r="I58" s="116"/>
      <c r="J58" s="116"/>
    </row>
    <row r="59" spans="1:10" x14ac:dyDescent="0.2">
      <c r="A59" s="116"/>
      <c r="B59" s="116"/>
      <c r="C59" s="116"/>
      <c r="D59" s="116"/>
      <c r="E59" s="116"/>
      <c r="F59" s="116"/>
      <c r="G59" s="116"/>
      <c r="H59" s="116"/>
      <c r="I59" s="116"/>
      <c r="J59" s="116"/>
    </row>
    <row r="60" spans="1:10" x14ac:dyDescent="0.2">
      <c r="A60" s="117"/>
      <c r="B60" s="488"/>
      <c r="C60" s="488"/>
      <c r="D60" s="488"/>
      <c r="E60" s="488"/>
      <c r="F60" s="488"/>
      <c r="G60" s="488"/>
      <c r="H60" s="488"/>
      <c r="I60" s="488"/>
      <c r="J60" s="88"/>
    </row>
    <row r="61" spans="1:10" ht="38.25" customHeight="1" x14ac:dyDescent="0.2">
      <c r="A61" s="88"/>
      <c r="B61" s="489"/>
      <c r="C61" s="489"/>
      <c r="D61" s="489"/>
      <c r="E61" s="489"/>
      <c r="F61" s="489"/>
      <c r="G61" s="489"/>
      <c r="H61" s="489"/>
      <c r="I61" s="489"/>
      <c r="J61" s="88"/>
    </row>
    <row r="62" spans="1:10" x14ac:dyDescent="0.2">
      <c r="A62" s="490"/>
      <c r="B62" s="490"/>
      <c r="C62" s="490"/>
      <c r="D62" s="490"/>
      <c r="E62" s="490"/>
      <c r="F62" s="490"/>
      <c r="G62" s="490"/>
      <c r="H62" s="490"/>
      <c r="I62" s="490"/>
      <c r="J62" s="490"/>
    </row>
    <row r="63" spans="1:10" x14ac:dyDescent="0.2">
      <c r="A63" s="434"/>
      <c r="B63" s="434"/>
      <c r="C63" s="434"/>
      <c r="D63" s="113"/>
      <c r="E63" s="435"/>
      <c r="F63" s="435"/>
      <c r="G63" s="113"/>
      <c r="H63" s="113"/>
      <c r="I63" s="435"/>
      <c r="J63" s="435"/>
    </row>
    <row r="64" spans="1:10" ht="24.75" customHeight="1" x14ac:dyDescent="0.2">
      <c r="A64" s="468"/>
      <c r="B64" s="468"/>
      <c r="C64" s="468"/>
      <c r="D64" s="113"/>
      <c r="E64" s="469"/>
      <c r="F64" s="469"/>
      <c r="G64" s="19"/>
      <c r="H64" s="20"/>
      <c r="I64" s="470"/>
      <c r="J64" s="470"/>
    </row>
    <row r="65" spans="1:10" x14ac:dyDescent="0.2">
      <c r="A65" s="434"/>
      <c r="B65" s="434"/>
      <c r="C65" s="434"/>
      <c r="D65" s="113"/>
      <c r="E65" s="470"/>
      <c r="F65" s="470"/>
      <c r="G65" s="19"/>
      <c r="H65" s="20"/>
      <c r="I65" s="482"/>
      <c r="J65" s="482"/>
    </row>
    <row r="66" spans="1:10" x14ac:dyDescent="0.2">
      <c r="A66" s="435"/>
      <c r="B66" s="435"/>
      <c r="C66" s="435"/>
      <c r="D66" s="435"/>
      <c r="E66" s="435"/>
      <c r="F66" s="435"/>
      <c r="G66" s="435"/>
      <c r="H66" s="435"/>
      <c r="I66" s="435"/>
      <c r="J66" s="435"/>
    </row>
    <row r="67" spans="1:10" x14ac:dyDescent="0.2">
      <c r="A67" s="435"/>
      <c r="B67" s="435"/>
      <c r="C67" s="435"/>
      <c r="D67" s="435"/>
      <c r="E67" s="435"/>
      <c r="F67" s="435"/>
      <c r="G67" s="435"/>
      <c r="H67" s="435"/>
      <c r="I67" s="435"/>
      <c r="J67" s="435"/>
    </row>
    <row r="68" spans="1:10" ht="12.75" customHeight="1" x14ac:dyDescent="0.2">
      <c r="A68" s="483"/>
      <c r="B68" s="483"/>
      <c r="C68" s="483"/>
      <c r="D68" s="483"/>
      <c r="E68" s="483"/>
      <c r="F68" s="483"/>
      <c r="G68" s="483"/>
      <c r="H68" s="483"/>
      <c r="I68" s="483"/>
      <c r="J68" s="483"/>
    </row>
    <row r="69" spans="1:10" ht="12.75" customHeight="1" x14ac:dyDescent="0.2">
      <c r="A69" s="483"/>
      <c r="B69" s="483"/>
      <c r="C69" s="483"/>
      <c r="D69" s="483"/>
      <c r="E69" s="434"/>
      <c r="F69" s="434"/>
      <c r="G69" s="434"/>
      <c r="H69" s="434"/>
      <c r="I69" s="434"/>
      <c r="J69" s="434"/>
    </row>
    <row r="70" spans="1:10" ht="12.75" customHeight="1" x14ac:dyDescent="0.2">
      <c r="A70" s="480"/>
      <c r="B70" s="480"/>
      <c r="C70" s="480"/>
      <c r="D70" s="480"/>
      <c r="E70" s="484"/>
      <c r="F70" s="435"/>
      <c r="G70" s="435"/>
      <c r="H70" s="491"/>
      <c r="I70" s="491"/>
      <c r="J70" s="491"/>
    </row>
    <row r="71" spans="1:10" x14ac:dyDescent="0.2">
      <c r="A71" s="480"/>
      <c r="B71" s="480"/>
      <c r="C71" s="480"/>
      <c r="D71" s="480"/>
      <c r="E71" s="484"/>
      <c r="F71" s="435"/>
      <c r="G71" s="435"/>
      <c r="H71" s="470"/>
      <c r="I71" s="470"/>
      <c r="J71" s="470"/>
    </row>
    <row r="72" spans="1:10" x14ac:dyDescent="0.2">
      <c r="A72" s="480"/>
      <c r="B72" s="480"/>
      <c r="C72" s="480"/>
      <c r="D72" s="480"/>
      <c r="E72" s="484"/>
      <c r="F72" s="435"/>
      <c r="G72" s="435"/>
      <c r="H72" s="491"/>
      <c r="I72" s="491"/>
      <c r="J72" s="491"/>
    </row>
    <row r="73" spans="1:10" ht="24" customHeight="1" x14ac:dyDescent="0.2">
      <c r="A73" s="480"/>
      <c r="B73" s="480"/>
      <c r="C73" s="480"/>
      <c r="D73" s="480"/>
      <c r="E73" s="485"/>
      <c r="F73" s="485"/>
      <c r="G73" s="485"/>
      <c r="H73" s="491"/>
      <c r="I73" s="491"/>
      <c r="J73" s="491"/>
    </row>
    <row r="74" spans="1:10" ht="12.75" customHeight="1" x14ac:dyDescent="0.2">
      <c r="A74" s="486"/>
      <c r="B74" s="486"/>
      <c r="C74" s="486"/>
      <c r="D74" s="486"/>
      <c r="E74" s="435"/>
      <c r="F74" s="435"/>
      <c r="G74" s="435"/>
      <c r="H74" s="482"/>
      <c r="I74" s="482"/>
      <c r="J74" s="482"/>
    </row>
    <row r="75" spans="1:10" ht="22.5" customHeight="1" x14ac:dyDescent="0.2">
      <c r="A75" s="480"/>
      <c r="B75" s="480"/>
      <c r="C75" s="480"/>
      <c r="D75" s="480"/>
      <c r="E75" s="485"/>
      <c r="F75" s="485"/>
      <c r="G75" s="485"/>
      <c r="H75" s="491"/>
      <c r="I75" s="491"/>
      <c r="J75" s="491"/>
    </row>
    <row r="76" spans="1:10" ht="12.75" customHeight="1" x14ac:dyDescent="0.2">
      <c r="A76" s="434"/>
      <c r="B76" s="434"/>
      <c r="C76" s="434"/>
      <c r="D76" s="434"/>
      <c r="E76" s="435"/>
      <c r="F76" s="435"/>
      <c r="G76" s="435"/>
      <c r="H76" s="482"/>
      <c r="I76" s="482"/>
      <c r="J76" s="482"/>
    </row>
    <row r="77" spans="1:10" ht="24.75" customHeight="1" x14ac:dyDescent="0.2">
      <c r="A77" s="480"/>
      <c r="B77" s="480"/>
      <c r="C77" s="480"/>
      <c r="D77" s="480"/>
      <c r="E77" s="485"/>
      <c r="F77" s="485"/>
      <c r="G77" s="485"/>
      <c r="H77" s="470"/>
      <c r="I77" s="470"/>
      <c r="J77" s="470"/>
    </row>
    <row r="78" spans="1:10" ht="27" customHeight="1" x14ac:dyDescent="0.2">
      <c r="A78" s="483"/>
      <c r="B78" s="483"/>
      <c r="C78" s="483"/>
      <c r="D78" s="483"/>
      <c r="E78" s="487"/>
      <c r="F78" s="487"/>
      <c r="G78" s="487"/>
      <c r="H78" s="482"/>
      <c r="I78" s="482"/>
      <c r="J78" s="482"/>
    </row>
    <row r="79" spans="1:10" x14ac:dyDescent="0.2">
      <c r="A79" s="118"/>
      <c r="B79" s="118"/>
      <c r="C79" s="118"/>
      <c r="D79" s="118"/>
      <c r="E79" s="67"/>
      <c r="F79" s="67"/>
      <c r="G79" s="67"/>
      <c r="H79" s="68"/>
      <c r="I79" s="68"/>
      <c r="J79" s="68"/>
    </row>
    <row r="80" spans="1:10" x14ac:dyDescent="0.2">
      <c r="A80" s="118"/>
      <c r="B80" s="118"/>
      <c r="C80" s="118"/>
      <c r="D80" s="118"/>
      <c r="E80" s="67"/>
      <c r="F80" s="67"/>
      <c r="G80" s="67"/>
      <c r="H80" s="68"/>
      <c r="I80" s="68"/>
      <c r="J80" s="68"/>
    </row>
    <row r="81" spans="1:10" x14ac:dyDescent="0.2">
      <c r="A81" s="118"/>
      <c r="B81" s="118"/>
      <c r="C81" s="118"/>
      <c r="D81" s="118"/>
      <c r="E81" s="67"/>
      <c r="F81" s="67"/>
      <c r="G81" s="67"/>
      <c r="H81" s="68"/>
      <c r="I81" s="68"/>
      <c r="J81" s="68"/>
    </row>
    <row r="82" spans="1:10" ht="12.75" customHeight="1" x14ac:dyDescent="0.2">
      <c r="A82" s="118"/>
      <c r="B82" s="118"/>
      <c r="C82" s="118"/>
      <c r="D82" s="118"/>
      <c r="E82" s="67"/>
      <c r="F82" s="67"/>
      <c r="G82" s="67"/>
      <c r="H82" s="68"/>
      <c r="I82" s="68"/>
      <c r="J82" s="68"/>
    </row>
    <row r="83" spans="1:10" x14ac:dyDescent="0.2">
      <c r="A83" s="118"/>
      <c r="B83" s="118"/>
      <c r="C83" s="118"/>
      <c r="D83" s="118"/>
      <c r="E83" s="67"/>
      <c r="F83" s="67"/>
      <c r="G83" s="67"/>
      <c r="H83" s="68"/>
      <c r="I83" s="68"/>
      <c r="J83" s="68"/>
    </row>
    <row r="84" spans="1:10" x14ac:dyDescent="0.2">
      <c r="A84" s="118"/>
      <c r="B84" s="118"/>
      <c r="C84" s="118"/>
      <c r="D84" s="118"/>
      <c r="E84" s="67"/>
      <c r="F84" s="67"/>
      <c r="G84" s="67"/>
      <c r="H84" s="68"/>
      <c r="I84" s="68"/>
      <c r="J84" s="68"/>
    </row>
    <row r="85" spans="1:10" x14ac:dyDescent="0.2">
      <c r="A85" s="117"/>
      <c r="B85" s="488"/>
      <c r="C85" s="488"/>
      <c r="D85" s="488"/>
      <c r="E85" s="488"/>
      <c r="F85" s="488"/>
      <c r="G85" s="488"/>
      <c r="H85" s="488"/>
      <c r="I85" s="488"/>
      <c r="J85" s="88"/>
    </row>
    <row r="86" spans="1:10" ht="24" customHeight="1" x14ac:dyDescent="0.2">
      <c r="A86" s="88"/>
      <c r="B86" s="489"/>
      <c r="C86" s="489"/>
      <c r="D86" s="489"/>
      <c r="E86" s="489"/>
      <c r="F86" s="489"/>
      <c r="G86" s="489"/>
      <c r="H86" s="489"/>
      <c r="I86" s="489"/>
      <c r="J86" s="88"/>
    </row>
    <row r="87" spans="1:10" x14ac:dyDescent="0.2">
      <c r="A87" s="490"/>
      <c r="B87" s="490"/>
      <c r="C87" s="490"/>
      <c r="D87" s="490"/>
      <c r="E87" s="490"/>
      <c r="F87" s="490"/>
      <c r="G87" s="490"/>
      <c r="H87" s="490"/>
      <c r="I87" s="490"/>
      <c r="J87" s="490"/>
    </row>
    <row r="88" spans="1:10" x14ac:dyDescent="0.2">
      <c r="A88" s="434"/>
      <c r="B88" s="434"/>
      <c r="C88" s="434"/>
      <c r="D88" s="113"/>
      <c r="E88" s="435"/>
      <c r="F88" s="435"/>
      <c r="G88" s="113"/>
      <c r="H88" s="113"/>
      <c r="I88" s="435"/>
      <c r="J88" s="435"/>
    </row>
    <row r="89" spans="1:10" x14ac:dyDescent="0.2">
      <c r="A89" s="480"/>
      <c r="B89" s="480"/>
      <c r="C89" s="480"/>
      <c r="D89" s="113"/>
      <c r="E89" s="469"/>
      <c r="F89" s="469"/>
      <c r="G89" s="19"/>
      <c r="H89" s="20"/>
      <c r="I89" s="470"/>
      <c r="J89" s="470"/>
    </row>
    <row r="90" spans="1:10" x14ac:dyDescent="0.2">
      <c r="A90" s="480"/>
      <c r="B90" s="480"/>
      <c r="C90" s="480"/>
      <c r="D90" s="113"/>
      <c r="E90" s="469"/>
      <c r="F90" s="469"/>
      <c r="G90" s="19"/>
      <c r="H90" s="20"/>
      <c r="I90" s="470"/>
      <c r="J90" s="470"/>
    </row>
    <row r="91" spans="1:10" x14ac:dyDescent="0.2">
      <c r="A91" s="480"/>
      <c r="B91" s="480"/>
      <c r="C91" s="480"/>
      <c r="D91" s="113"/>
      <c r="E91" s="469"/>
      <c r="F91" s="469"/>
      <c r="G91" s="19"/>
      <c r="H91" s="20"/>
      <c r="I91" s="470"/>
      <c r="J91" s="470"/>
    </row>
    <row r="92" spans="1:10" x14ac:dyDescent="0.2">
      <c r="A92" s="480"/>
      <c r="B92" s="480"/>
      <c r="C92" s="480"/>
      <c r="D92" s="113"/>
      <c r="E92" s="469"/>
      <c r="F92" s="469"/>
      <c r="G92" s="19"/>
      <c r="H92" s="20"/>
      <c r="I92" s="470"/>
      <c r="J92" s="470"/>
    </row>
    <row r="93" spans="1:10" x14ac:dyDescent="0.2">
      <c r="A93" s="480"/>
      <c r="B93" s="480"/>
      <c r="C93" s="480"/>
      <c r="D93" s="113"/>
      <c r="E93" s="469"/>
      <c r="F93" s="469"/>
      <c r="G93" s="19"/>
      <c r="H93" s="20"/>
      <c r="I93" s="470"/>
      <c r="J93" s="470"/>
    </row>
    <row r="94" spans="1:10" x14ac:dyDescent="0.2">
      <c r="A94" s="434"/>
      <c r="B94" s="434"/>
      <c r="C94" s="434"/>
      <c r="D94" s="113"/>
      <c r="E94" s="470"/>
      <c r="F94" s="470"/>
      <c r="G94" s="19"/>
      <c r="H94" s="20"/>
      <c r="I94" s="482"/>
      <c r="J94" s="482"/>
    </row>
    <row r="95" spans="1:10" x14ac:dyDescent="0.2">
      <c r="A95" s="435"/>
      <c r="B95" s="435"/>
      <c r="C95" s="435"/>
      <c r="D95" s="435"/>
      <c r="E95" s="435"/>
      <c r="F95" s="435"/>
      <c r="G95" s="435"/>
      <c r="H95" s="435"/>
      <c r="I95" s="435"/>
      <c r="J95" s="435"/>
    </row>
    <row r="96" spans="1:10" x14ac:dyDescent="0.2">
      <c r="A96" s="434"/>
      <c r="B96" s="434"/>
      <c r="C96" s="434"/>
      <c r="D96" s="113"/>
      <c r="E96" s="435"/>
      <c r="F96" s="435"/>
      <c r="G96" s="113"/>
      <c r="H96" s="113"/>
      <c r="I96" s="435"/>
      <c r="J96" s="435"/>
    </row>
    <row r="97" spans="1:10" x14ac:dyDescent="0.2">
      <c r="A97" s="479"/>
      <c r="B97" s="479"/>
      <c r="C97" s="479"/>
      <c r="D97" s="113"/>
      <c r="E97" s="469"/>
      <c r="F97" s="469"/>
      <c r="G97" s="19"/>
      <c r="H97" s="20"/>
      <c r="I97" s="470"/>
      <c r="J97" s="470"/>
    </row>
    <row r="98" spans="1:10" x14ac:dyDescent="0.2">
      <c r="A98" s="468"/>
      <c r="B98" s="468"/>
      <c r="C98" s="468"/>
      <c r="D98" s="113"/>
      <c r="E98" s="469"/>
      <c r="F98" s="469"/>
      <c r="G98" s="19"/>
      <c r="H98" s="20"/>
      <c r="I98" s="470"/>
      <c r="J98" s="470"/>
    </row>
    <row r="99" spans="1:10" x14ac:dyDescent="0.2">
      <c r="A99" s="468"/>
      <c r="B99" s="468"/>
      <c r="C99" s="468"/>
      <c r="D99" s="113"/>
      <c r="E99" s="469"/>
      <c r="F99" s="469"/>
      <c r="G99" s="19"/>
      <c r="H99" s="20"/>
      <c r="I99" s="470"/>
      <c r="J99" s="470"/>
    </row>
    <row r="100" spans="1:10" x14ac:dyDescent="0.2">
      <c r="A100" s="468"/>
      <c r="B100" s="468"/>
      <c r="C100" s="468"/>
      <c r="D100" s="113"/>
      <c r="E100" s="469"/>
      <c r="F100" s="469"/>
      <c r="G100" s="19"/>
      <c r="H100" s="20"/>
      <c r="I100" s="470"/>
      <c r="J100" s="470"/>
    </row>
    <row r="101" spans="1:10" x14ac:dyDescent="0.2">
      <c r="A101" s="468"/>
      <c r="B101" s="468"/>
      <c r="C101" s="468"/>
      <c r="D101" s="113"/>
      <c r="E101" s="469"/>
      <c r="F101" s="469"/>
      <c r="G101" s="19"/>
      <c r="H101" s="20"/>
      <c r="I101" s="470"/>
      <c r="J101" s="470"/>
    </row>
    <row r="102" spans="1:10" x14ac:dyDescent="0.2">
      <c r="A102" s="468"/>
      <c r="B102" s="468"/>
      <c r="C102" s="468"/>
      <c r="D102" s="113"/>
      <c r="E102" s="469"/>
      <c r="F102" s="469"/>
      <c r="G102" s="19"/>
      <c r="H102" s="20"/>
      <c r="I102" s="470"/>
      <c r="J102" s="470"/>
    </row>
    <row r="103" spans="1:10" ht="12.75" customHeight="1" x14ac:dyDescent="0.2">
      <c r="A103" s="468"/>
      <c r="B103" s="468"/>
      <c r="C103" s="468"/>
      <c r="D103" s="113"/>
      <c r="E103" s="469"/>
      <c r="F103" s="469"/>
      <c r="G103" s="19"/>
      <c r="H103" s="20"/>
      <c r="I103" s="470"/>
      <c r="J103" s="470"/>
    </row>
    <row r="104" spans="1:10" ht="27" customHeight="1" x14ac:dyDescent="0.2">
      <c r="A104" s="468"/>
      <c r="B104" s="468"/>
      <c r="C104" s="468"/>
      <c r="D104" s="113"/>
      <c r="E104" s="469"/>
      <c r="F104" s="469"/>
      <c r="G104" s="19"/>
      <c r="H104" s="20"/>
      <c r="I104" s="470"/>
      <c r="J104" s="470"/>
    </row>
    <row r="105" spans="1:10" x14ac:dyDescent="0.2">
      <c r="A105" s="468"/>
      <c r="B105" s="468"/>
      <c r="C105" s="468"/>
      <c r="D105" s="113"/>
      <c r="E105" s="469"/>
      <c r="F105" s="469"/>
      <c r="G105" s="19"/>
      <c r="H105" s="20"/>
      <c r="I105" s="470"/>
      <c r="J105" s="470"/>
    </row>
    <row r="106" spans="1:10" x14ac:dyDescent="0.2">
      <c r="A106" s="468"/>
      <c r="B106" s="468"/>
      <c r="C106" s="468"/>
      <c r="D106" s="113"/>
      <c r="E106" s="469"/>
      <c r="F106" s="469"/>
      <c r="G106" s="19"/>
      <c r="H106" s="20"/>
      <c r="I106" s="470"/>
      <c r="J106" s="470"/>
    </row>
    <row r="107" spans="1:10" x14ac:dyDescent="0.2">
      <c r="A107" s="468"/>
      <c r="B107" s="468"/>
      <c r="C107" s="468"/>
      <c r="D107" s="113"/>
      <c r="E107" s="469"/>
      <c r="F107" s="469"/>
      <c r="G107" s="19"/>
      <c r="H107" s="20"/>
      <c r="I107" s="470"/>
      <c r="J107" s="470"/>
    </row>
    <row r="108" spans="1:10" x14ac:dyDescent="0.2">
      <c r="A108" s="434"/>
      <c r="B108" s="434"/>
      <c r="C108" s="434"/>
      <c r="D108" s="113"/>
      <c r="E108" s="470"/>
      <c r="F108" s="470"/>
      <c r="G108" s="19"/>
      <c r="H108" s="20"/>
      <c r="I108" s="482"/>
      <c r="J108" s="482"/>
    </row>
    <row r="109" spans="1:10" x14ac:dyDescent="0.2">
      <c r="A109" s="435"/>
      <c r="B109" s="435"/>
      <c r="C109" s="435"/>
      <c r="D109" s="435"/>
      <c r="E109" s="435"/>
      <c r="F109" s="435"/>
      <c r="G109" s="435"/>
      <c r="H109" s="435"/>
      <c r="I109" s="435"/>
      <c r="J109" s="435"/>
    </row>
    <row r="110" spans="1:10" x14ac:dyDescent="0.2">
      <c r="A110" s="434"/>
      <c r="B110" s="434"/>
      <c r="C110" s="434"/>
      <c r="D110" s="113"/>
      <c r="E110" s="435"/>
      <c r="F110" s="435"/>
      <c r="G110" s="113"/>
      <c r="H110" s="113"/>
      <c r="I110" s="435"/>
      <c r="J110" s="435"/>
    </row>
    <row r="111" spans="1:10" x14ac:dyDescent="0.2">
      <c r="A111" s="479"/>
      <c r="B111" s="479"/>
      <c r="C111" s="479"/>
      <c r="D111" s="113"/>
      <c r="E111" s="469"/>
      <c r="F111" s="469"/>
      <c r="G111" s="19"/>
      <c r="H111" s="20"/>
      <c r="I111" s="470"/>
      <c r="J111" s="470"/>
    </row>
    <row r="112" spans="1:10" x14ac:dyDescent="0.2">
      <c r="A112" s="480"/>
      <c r="B112" s="480"/>
      <c r="C112" s="480"/>
      <c r="D112" s="113"/>
      <c r="E112" s="470"/>
      <c r="F112" s="470"/>
      <c r="G112" s="19"/>
      <c r="H112" s="20"/>
      <c r="I112" s="470"/>
      <c r="J112" s="470"/>
    </row>
    <row r="113" spans="1:10" x14ac:dyDescent="0.2">
      <c r="A113" s="434"/>
      <c r="B113" s="434"/>
      <c r="C113" s="434"/>
      <c r="D113" s="115"/>
      <c r="E113" s="470"/>
      <c r="F113" s="470"/>
      <c r="G113" s="115"/>
      <c r="H113" s="115"/>
      <c r="I113" s="482"/>
      <c r="J113" s="482"/>
    </row>
    <row r="114" spans="1:10" x14ac:dyDescent="0.2">
      <c r="A114" s="435"/>
      <c r="B114" s="435"/>
      <c r="C114" s="435"/>
      <c r="D114" s="435"/>
      <c r="E114" s="435"/>
      <c r="F114" s="435"/>
      <c r="G114" s="435"/>
      <c r="H114" s="435"/>
      <c r="I114" s="435"/>
      <c r="J114" s="435"/>
    </row>
    <row r="115" spans="1:10" ht="12.75" customHeight="1" x14ac:dyDescent="0.2">
      <c r="A115" s="483"/>
      <c r="B115" s="483"/>
      <c r="C115" s="483"/>
      <c r="D115" s="483"/>
      <c r="E115" s="483"/>
      <c r="F115" s="483"/>
      <c r="G115" s="483"/>
      <c r="H115" s="483"/>
      <c r="I115" s="483"/>
      <c r="J115" s="483"/>
    </row>
    <row r="116" spans="1:10" ht="12.75" customHeight="1" x14ac:dyDescent="0.2">
      <c r="A116" s="483"/>
      <c r="B116" s="483"/>
      <c r="C116" s="483"/>
      <c r="D116" s="483"/>
      <c r="E116" s="434"/>
      <c r="F116" s="434"/>
      <c r="G116" s="434"/>
      <c r="H116" s="434"/>
      <c r="I116" s="434"/>
      <c r="J116" s="434"/>
    </row>
    <row r="117" spans="1:10" ht="12.75" customHeight="1" x14ac:dyDescent="0.2">
      <c r="A117" s="480"/>
      <c r="B117" s="480"/>
      <c r="C117" s="480"/>
      <c r="D117" s="480"/>
      <c r="E117" s="484"/>
      <c r="F117" s="435"/>
      <c r="G117" s="435"/>
      <c r="H117" s="470"/>
      <c r="I117" s="470"/>
      <c r="J117" s="470"/>
    </row>
    <row r="118" spans="1:10" x14ac:dyDescent="0.2">
      <c r="A118" s="480"/>
      <c r="B118" s="480"/>
      <c r="C118" s="480"/>
      <c r="D118" s="480"/>
      <c r="E118" s="484"/>
      <c r="F118" s="435"/>
      <c r="G118" s="435"/>
      <c r="H118" s="470"/>
      <c r="I118" s="470"/>
      <c r="J118" s="470"/>
    </row>
    <row r="119" spans="1:10" x14ac:dyDescent="0.2">
      <c r="A119" s="480"/>
      <c r="B119" s="480"/>
      <c r="C119" s="480"/>
      <c r="D119" s="480"/>
      <c r="E119" s="484"/>
      <c r="F119" s="435"/>
      <c r="G119" s="435"/>
      <c r="H119" s="470"/>
      <c r="I119" s="470"/>
      <c r="J119" s="470"/>
    </row>
    <row r="120" spans="1:10" ht="12.75" customHeight="1" x14ac:dyDescent="0.2">
      <c r="A120" s="480"/>
      <c r="B120" s="480"/>
      <c r="C120" s="480"/>
      <c r="D120" s="480"/>
      <c r="E120" s="485"/>
      <c r="F120" s="485"/>
      <c r="G120" s="485"/>
      <c r="H120" s="470"/>
      <c r="I120" s="470"/>
      <c r="J120" s="470"/>
    </row>
    <row r="121" spans="1:10" ht="12.75" customHeight="1" x14ac:dyDescent="0.2">
      <c r="A121" s="486"/>
      <c r="B121" s="486"/>
      <c r="C121" s="486"/>
      <c r="D121" s="486"/>
      <c r="E121" s="435"/>
      <c r="F121" s="435"/>
      <c r="G121" s="435"/>
      <c r="H121" s="482"/>
      <c r="I121" s="482"/>
      <c r="J121" s="482"/>
    </row>
    <row r="122" spans="1:10" ht="12.75" customHeight="1" x14ac:dyDescent="0.2">
      <c r="A122" s="480"/>
      <c r="B122" s="480"/>
      <c r="C122" s="480"/>
      <c r="D122" s="480"/>
      <c r="E122" s="485"/>
      <c r="F122" s="485"/>
      <c r="G122" s="485"/>
      <c r="H122" s="470"/>
      <c r="I122" s="470"/>
      <c r="J122" s="470"/>
    </row>
    <row r="123" spans="1:10" ht="12.75" customHeight="1" x14ac:dyDescent="0.2">
      <c r="A123" s="434"/>
      <c r="B123" s="434"/>
      <c r="C123" s="434"/>
      <c r="D123" s="434"/>
      <c r="E123" s="435"/>
      <c r="F123" s="435"/>
      <c r="G123" s="435"/>
      <c r="H123" s="482"/>
      <c r="I123" s="482"/>
      <c r="J123" s="482"/>
    </row>
    <row r="124" spans="1:10" ht="12.75" customHeight="1" x14ac:dyDescent="0.2">
      <c r="A124" s="480"/>
      <c r="B124" s="480"/>
      <c r="C124" s="480"/>
      <c r="D124" s="480"/>
      <c r="E124" s="485"/>
      <c r="F124" s="485"/>
      <c r="G124" s="485"/>
      <c r="H124" s="470"/>
      <c r="I124" s="470"/>
      <c r="J124" s="470"/>
    </row>
    <row r="125" spans="1:10" x14ac:dyDescent="0.2">
      <c r="A125" s="483"/>
      <c r="B125" s="483"/>
      <c r="C125" s="483"/>
      <c r="D125" s="483"/>
      <c r="E125" s="487"/>
      <c r="F125" s="487"/>
      <c r="G125" s="487"/>
      <c r="H125" s="482"/>
      <c r="I125" s="482"/>
      <c r="J125" s="482"/>
    </row>
    <row r="126" spans="1:10" x14ac:dyDescent="0.2">
      <c r="A126" s="116"/>
      <c r="B126" s="116"/>
      <c r="C126" s="116"/>
      <c r="D126" s="116"/>
      <c r="E126" s="116"/>
      <c r="F126" s="116"/>
      <c r="G126" s="116"/>
      <c r="H126" s="116"/>
      <c r="I126" s="116"/>
      <c r="J126" s="116"/>
    </row>
    <row r="127" spans="1:10" x14ac:dyDescent="0.2">
      <c r="A127" s="116"/>
      <c r="B127" s="116"/>
      <c r="C127" s="116"/>
      <c r="D127" s="116"/>
      <c r="E127" s="116"/>
      <c r="F127" s="116"/>
      <c r="G127" s="116"/>
      <c r="H127" s="116"/>
      <c r="I127" s="116"/>
      <c r="J127" s="116"/>
    </row>
    <row r="128" spans="1:10" x14ac:dyDescent="0.2">
      <c r="A128" s="493"/>
      <c r="B128" s="493"/>
      <c r="C128" s="493"/>
      <c r="D128" s="493"/>
      <c r="E128" s="493"/>
      <c r="F128" s="116"/>
      <c r="G128" s="116"/>
      <c r="H128" s="116"/>
      <c r="I128" s="116"/>
      <c r="J128" s="116"/>
    </row>
    <row r="129" spans="1:10" x14ac:dyDescent="0.2">
      <c r="A129" s="116"/>
      <c r="B129" s="116"/>
      <c r="C129" s="116"/>
      <c r="D129" s="116"/>
      <c r="E129" s="116"/>
      <c r="F129" s="116"/>
      <c r="G129" s="116"/>
      <c r="H129" s="116"/>
      <c r="I129" s="116"/>
      <c r="J129" s="116"/>
    </row>
    <row r="130" spans="1:10" x14ac:dyDescent="0.2">
      <c r="A130" s="116"/>
      <c r="B130" s="116"/>
      <c r="C130" s="116"/>
      <c r="D130" s="116"/>
      <c r="E130" s="116"/>
      <c r="F130" s="116"/>
      <c r="G130" s="116"/>
      <c r="H130" s="116"/>
      <c r="I130" s="116"/>
      <c r="J130" s="116"/>
    </row>
    <row r="131" spans="1:10" x14ac:dyDescent="0.2">
      <c r="A131" s="116"/>
      <c r="B131" s="116"/>
      <c r="C131" s="116"/>
      <c r="D131" s="116"/>
      <c r="E131" s="116"/>
      <c r="F131" s="116"/>
      <c r="G131" s="116"/>
      <c r="H131" s="116"/>
      <c r="I131" s="116"/>
      <c r="J131" s="116"/>
    </row>
    <row r="132" spans="1:10" x14ac:dyDescent="0.2">
      <c r="A132" s="116"/>
      <c r="B132" s="116"/>
      <c r="C132" s="116"/>
      <c r="D132" s="116"/>
      <c r="E132" s="116"/>
      <c r="F132" s="116"/>
      <c r="G132" s="116"/>
      <c r="H132" s="492"/>
      <c r="I132" s="492"/>
      <c r="J132" s="492"/>
    </row>
    <row r="133" spans="1:10" x14ac:dyDescent="0.2">
      <c r="A133" s="116"/>
      <c r="B133" s="116"/>
      <c r="C133" s="116"/>
      <c r="D133" s="116"/>
      <c r="E133" s="116"/>
      <c r="F133" s="116"/>
      <c r="G133" s="116"/>
      <c r="H133" s="490"/>
      <c r="I133" s="490"/>
      <c r="J133" s="490"/>
    </row>
    <row r="134" spans="1:10" x14ac:dyDescent="0.2">
      <c r="A134" s="116"/>
      <c r="B134" s="116"/>
      <c r="C134" s="116"/>
      <c r="D134" s="116"/>
      <c r="E134" s="116"/>
      <c r="F134" s="116"/>
      <c r="G134" s="116"/>
      <c r="H134" s="490"/>
      <c r="I134" s="490"/>
      <c r="J134" s="490"/>
    </row>
  </sheetData>
  <mergeCells count="270">
    <mergeCell ref="A1:K2"/>
    <mergeCell ref="A128:E128"/>
    <mergeCell ref="H132:J132"/>
    <mergeCell ref="H133:J133"/>
    <mergeCell ref="H134:J134"/>
    <mergeCell ref="A124:D124"/>
    <mergeCell ref="E124:G124"/>
    <mergeCell ref="H124:J124"/>
    <mergeCell ref="A125:D125"/>
    <mergeCell ref="E125:G125"/>
    <mergeCell ref="H125:J125"/>
    <mergeCell ref="A122:D122"/>
    <mergeCell ref="E122:G122"/>
    <mergeCell ref="H122:J122"/>
    <mergeCell ref="A123:D123"/>
    <mergeCell ref="E123:G123"/>
    <mergeCell ref="H123:J123"/>
    <mergeCell ref="A120:D120"/>
    <mergeCell ref="E120:G120"/>
    <mergeCell ref="H120:J120"/>
    <mergeCell ref="A121:D121"/>
    <mergeCell ref="E121:G121"/>
    <mergeCell ref="H121:J121"/>
    <mergeCell ref="A118:D118"/>
    <mergeCell ref="E118:G118"/>
    <mergeCell ref="H118:J118"/>
    <mergeCell ref="A119:D119"/>
    <mergeCell ref="E119:G119"/>
    <mergeCell ref="H119:J119"/>
    <mergeCell ref="A114:J114"/>
    <mergeCell ref="A115:J115"/>
    <mergeCell ref="A116:D116"/>
    <mergeCell ref="E116:G116"/>
    <mergeCell ref="H116:J116"/>
    <mergeCell ref="A117:D117"/>
    <mergeCell ref="E117:G117"/>
    <mergeCell ref="H117:J117"/>
    <mergeCell ref="A112:C112"/>
    <mergeCell ref="E112:F112"/>
    <mergeCell ref="I112:J112"/>
    <mergeCell ref="A113:C113"/>
    <mergeCell ref="E113:F113"/>
    <mergeCell ref="I113:J113"/>
    <mergeCell ref="A109:J109"/>
    <mergeCell ref="A110:C110"/>
    <mergeCell ref="E110:F110"/>
    <mergeCell ref="I110:J110"/>
    <mergeCell ref="A111:C111"/>
    <mergeCell ref="E111:F111"/>
    <mergeCell ref="I111:J111"/>
    <mergeCell ref="A107:C107"/>
    <mergeCell ref="E107:F107"/>
    <mergeCell ref="I107:J107"/>
    <mergeCell ref="A108:C108"/>
    <mergeCell ref="E108:F108"/>
    <mergeCell ref="I108:J108"/>
    <mergeCell ref="A105:C105"/>
    <mergeCell ref="E105:F105"/>
    <mergeCell ref="I105:J105"/>
    <mergeCell ref="A106:C106"/>
    <mergeCell ref="E106:F106"/>
    <mergeCell ref="I106:J106"/>
    <mergeCell ref="A103:C103"/>
    <mergeCell ref="E103:F103"/>
    <mergeCell ref="I103:J103"/>
    <mergeCell ref="A104:C104"/>
    <mergeCell ref="E104:F104"/>
    <mergeCell ref="I104:J104"/>
    <mergeCell ref="A101:C101"/>
    <mergeCell ref="E101:F101"/>
    <mergeCell ref="I101:J101"/>
    <mergeCell ref="A102:C102"/>
    <mergeCell ref="E102:F102"/>
    <mergeCell ref="I102:J102"/>
    <mergeCell ref="A99:C99"/>
    <mergeCell ref="E99:F99"/>
    <mergeCell ref="I99:J99"/>
    <mergeCell ref="A100:C100"/>
    <mergeCell ref="E100:F100"/>
    <mergeCell ref="I100:J100"/>
    <mergeCell ref="A97:C97"/>
    <mergeCell ref="E97:F97"/>
    <mergeCell ref="I97:J97"/>
    <mergeCell ref="A98:C98"/>
    <mergeCell ref="E98:F98"/>
    <mergeCell ref="I98:J98"/>
    <mergeCell ref="A94:C94"/>
    <mergeCell ref="E94:F94"/>
    <mergeCell ref="I94:J94"/>
    <mergeCell ref="A95:J95"/>
    <mergeCell ref="A96:C96"/>
    <mergeCell ref="E96:F96"/>
    <mergeCell ref="I96:J96"/>
    <mergeCell ref="A92:C92"/>
    <mergeCell ref="E92:F92"/>
    <mergeCell ref="I92:J92"/>
    <mergeCell ref="A93:C93"/>
    <mergeCell ref="E93:F93"/>
    <mergeCell ref="I93:J93"/>
    <mergeCell ref="A90:C90"/>
    <mergeCell ref="E90:F90"/>
    <mergeCell ref="I90:J90"/>
    <mergeCell ref="A91:C91"/>
    <mergeCell ref="E91:F91"/>
    <mergeCell ref="I91:J91"/>
    <mergeCell ref="A88:C88"/>
    <mergeCell ref="E88:F88"/>
    <mergeCell ref="I88:J88"/>
    <mergeCell ref="A89:C89"/>
    <mergeCell ref="E89:F89"/>
    <mergeCell ref="I89:J89"/>
    <mergeCell ref="A78:D78"/>
    <mergeCell ref="E78:G78"/>
    <mergeCell ref="H78:J78"/>
    <mergeCell ref="B85:I85"/>
    <mergeCell ref="B86:I86"/>
    <mergeCell ref="A87:J87"/>
    <mergeCell ref="A76:D76"/>
    <mergeCell ref="E76:G76"/>
    <mergeCell ref="H76:J76"/>
    <mergeCell ref="A77:D77"/>
    <mergeCell ref="E77:G77"/>
    <mergeCell ref="H77:J77"/>
    <mergeCell ref="A74:D74"/>
    <mergeCell ref="E74:G74"/>
    <mergeCell ref="H74:J74"/>
    <mergeCell ref="A75:D75"/>
    <mergeCell ref="E75:G75"/>
    <mergeCell ref="H75:J75"/>
    <mergeCell ref="A72:D72"/>
    <mergeCell ref="E72:G72"/>
    <mergeCell ref="H72:J72"/>
    <mergeCell ref="A73:D73"/>
    <mergeCell ref="E73:G73"/>
    <mergeCell ref="H73:J73"/>
    <mergeCell ref="A70:D70"/>
    <mergeCell ref="E70:G70"/>
    <mergeCell ref="H70:J70"/>
    <mergeCell ref="A71:D71"/>
    <mergeCell ref="E71:G71"/>
    <mergeCell ref="H71:J71"/>
    <mergeCell ref="A66:J66"/>
    <mergeCell ref="A67:J67"/>
    <mergeCell ref="A68:J68"/>
    <mergeCell ref="A69:D69"/>
    <mergeCell ref="E69:G69"/>
    <mergeCell ref="H69:J69"/>
    <mergeCell ref="A64:C64"/>
    <mergeCell ref="E64:F64"/>
    <mergeCell ref="I64:J64"/>
    <mergeCell ref="A65:C65"/>
    <mergeCell ref="E65:F65"/>
    <mergeCell ref="I65:J65"/>
    <mergeCell ref="B60:I60"/>
    <mergeCell ref="B61:I61"/>
    <mergeCell ref="A62:J62"/>
    <mergeCell ref="A63:C63"/>
    <mergeCell ref="E63:F63"/>
    <mergeCell ref="I63:J63"/>
    <mergeCell ref="A51:D51"/>
    <mergeCell ref="E51:G51"/>
    <mergeCell ref="H51:J51"/>
    <mergeCell ref="A52:D52"/>
    <mergeCell ref="E52:G52"/>
    <mergeCell ref="H52:J52"/>
    <mergeCell ref="A49:D49"/>
    <mergeCell ref="E49:G49"/>
    <mergeCell ref="H49:J49"/>
    <mergeCell ref="A50:D50"/>
    <mergeCell ref="E50:G50"/>
    <mergeCell ref="H50:J50"/>
    <mergeCell ref="A47:D47"/>
    <mergeCell ref="E47:G47"/>
    <mergeCell ref="H47:J47"/>
    <mergeCell ref="A48:D48"/>
    <mergeCell ref="E48:G48"/>
    <mergeCell ref="H48:J48"/>
    <mergeCell ref="A45:D45"/>
    <mergeCell ref="E45:G45"/>
    <mergeCell ref="H45:J45"/>
    <mergeCell ref="A46:D46"/>
    <mergeCell ref="E46:G46"/>
    <mergeCell ref="H46:J46"/>
    <mergeCell ref="A41:J41"/>
    <mergeCell ref="A42:J42"/>
    <mergeCell ref="A43:D43"/>
    <mergeCell ref="E43:G43"/>
    <mergeCell ref="H43:J43"/>
    <mergeCell ref="A44:D44"/>
    <mergeCell ref="E44:G44"/>
    <mergeCell ref="H44:J44"/>
    <mergeCell ref="A39:C39"/>
    <mergeCell ref="E39:F39"/>
    <mergeCell ref="I39:J39"/>
    <mergeCell ref="A40:C40"/>
    <mergeCell ref="E40:F40"/>
    <mergeCell ref="I40:J40"/>
    <mergeCell ref="F36:I36"/>
    <mergeCell ref="B37:D37"/>
    <mergeCell ref="F37:G37"/>
    <mergeCell ref="J37:K37"/>
    <mergeCell ref="A38:C38"/>
    <mergeCell ref="E38:F38"/>
    <mergeCell ref="I38:J38"/>
    <mergeCell ref="B34:D34"/>
    <mergeCell ref="F34:G34"/>
    <mergeCell ref="J34:K34"/>
    <mergeCell ref="B35:D35"/>
    <mergeCell ref="F35:I35"/>
    <mergeCell ref="J35:K35"/>
    <mergeCell ref="B32:D32"/>
    <mergeCell ref="F32:G32"/>
    <mergeCell ref="J32:K32"/>
    <mergeCell ref="F33:G33"/>
    <mergeCell ref="J33:K33"/>
    <mergeCell ref="A30:E30"/>
    <mergeCell ref="F30:H30"/>
    <mergeCell ref="I30:K30"/>
    <mergeCell ref="A31:E31"/>
    <mergeCell ref="F31:H31"/>
    <mergeCell ref="I31:K31"/>
    <mergeCell ref="A33:D33"/>
    <mergeCell ref="A28:E28"/>
    <mergeCell ref="F28:H28"/>
    <mergeCell ref="I28:K28"/>
    <mergeCell ref="A29:E29"/>
    <mergeCell ref="F29:H29"/>
    <mergeCell ref="I29:K29"/>
    <mergeCell ref="A26:E26"/>
    <mergeCell ref="F26:H26"/>
    <mergeCell ref="I26:K26"/>
    <mergeCell ref="A27:E27"/>
    <mergeCell ref="F27:H27"/>
    <mergeCell ref="I27:K27"/>
    <mergeCell ref="A24:E24"/>
    <mergeCell ref="F24:H24"/>
    <mergeCell ref="I24:K24"/>
    <mergeCell ref="A25:E25"/>
    <mergeCell ref="F25:H25"/>
    <mergeCell ref="I25:K25"/>
    <mergeCell ref="A21:K21"/>
    <mergeCell ref="A22:E22"/>
    <mergeCell ref="F22:H22"/>
    <mergeCell ref="I22:K22"/>
    <mergeCell ref="A23:E23"/>
    <mergeCell ref="F23:H23"/>
    <mergeCell ref="I23:K23"/>
    <mergeCell ref="A18:D18"/>
    <mergeCell ref="E18:J18"/>
    <mergeCell ref="B19:K19"/>
    <mergeCell ref="B20:D20"/>
    <mergeCell ref="F20:G20"/>
    <mergeCell ref="J20:K20"/>
    <mergeCell ref="B13:J13"/>
    <mergeCell ref="B14:K14"/>
    <mergeCell ref="F15:G15"/>
    <mergeCell ref="B16:D16"/>
    <mergeCell ref="F16:G16"/>
    <mergeCell ref="B17:D17"/>
    <mergeCell ref="F17:G17"/>
    <mergeCell ref="A7:K7"/>
    <mergeCell ref="A8:K8"/>
    <mergeCell ref="A9:J9"/>
    <mergeCell ref="A10:K10"/>
    <mergeCell ref="B11:K11"/>
    <mergeCell ref="B12:J12"/>
    <mergeCell ref="A3:K3"/>
    <mergeCell ref="A4:K4"/>
    <mergeCell ref="B5:K5"/>
    <mergeCell ref="B6:K6"/>
  </mergeCells>
  <printOptions horizontalCentered="1"/>
  <pageMargins left="0.59055118110236227" right="0.59055118110236227" top="0.59055118110236227" bottom="0.39370078740157483" header="0.31496062992125984" footer="0.31496062992125984"/>
  <pageSetup scale="88" orientation="portrait" horizontalDpi="4294967293" r:id="rId1"/>
  <headerFooter>
    <oddHeader>Página &amp;P de &amp;N</oddHeader>
  </headerFooter>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65CE7-E39D-4F86-83B3-15B626889434}">
  <sheetPr>
    <tabColor theme="9" tint="-0.249977111117893"/>
  </sheetPr>
  <dimension ref="A1:H55"/>
  <sheetViews>
    <sheetView showGridLines="0" tabSelected="1" topLeftCell="A40" zoomScale="115" zoomScaleNormal="115" zoomScaleSheetLayoutView="100" workbookViewId="0">
      <selection activeCell="B59" sqref="B59"/>
    </sheetView>
  </sheetViews>
  <sheetFormatPr defaultRowHeight="12.75" x14ac:dyDescent="0.2"/>
  <cols>
    <col min="1" max="1" width="12.140625" style="232" customWidth="1"/>
    <col min="2" max="2" width="44" style="232" customWidth="1"/>
    <col min="3" max="3" width="11.7109375" style="239" customWidth="1"/>
    <col min="4" max="4" width="3.140625" style="232" bestFit="1" customWidth="1"/>
    <col min="5" max="5" width="11" style="232" bestFit="1" customWidth="1"/>
    <col min="6" max="6" width="34.42578125" style="232" customWidth="1"/>
    <col min="7" max="256" width="9.140625" style="232"/>
    <col min="257" max="257" width="12.140625" style="232" customWidth="1"/>
    <col min="258" max="258" width="40.42578125" style="232" customWidth="1"/>
    <col min="259" max="259" width="11.7109375" style="232" customWidth="1"/>
    <col min="260" max="260" width="3.140625" style="232" bestFit="1" customWidth="1"/>
    <col min="261" max="261" width="11" style="232" bestFit="1" customWidth="1"/>
    <col min="262" max="262" width="34.42578125" style="232" customWidth="1"/>
    <col min="263" max="512" width="9.140625" style="232"/>
    <col min="513" max="513" width="12.140625" style="232" customWidth="1"/>
    <col min="514" max="514" width="40.42578125" style="232" customWidth="1"/>
    <col min="515" max="515" width="11.7109375" style="232" customWidth="1"/>
    <col min="516" max="516" width="3.140625" style="232" bestFit="1" customWidth="1"/>
    <col min="517" max="517" width="11" style="232" bestFit="1" customWidth="1"/>
    <col min="518" max="518" width="34.42578125" style="232" customWidth="1"/>
    <col min="519" max="768" width="9.140625" style="232"/>
    <col min="769" max="769" width="12.140625" style="232" customWidth="1"/>
    <col min="770" max="770" width="40.42578125" style="232" customWidth="1"/>
    <col min="771" max="771" width="11.7109375" style="232" customWidth="1"/>
    <col min="772" max="772" width="3.140625" style="232" bestFit="1" customWidth="1"/>
    <col min="773" max="773" width="11" style="232" bestFit="1" customWidth="1"/>
    <col min="774" max="774" width="34.42578125" style="232" customWidth="1"/>
    <col min="775" max="1024" width="9.140625" style="232"/>
    <col min="1025" max="1025" width="12.140625" style="232" customWidth="1"/>
    <col min="1026" max="1026" width="40.42578125" style="232" customWidth="1"/>
    <col min="1027" max="1027" width="11.7109375" style="232" customWidth="1"/>
    <col min="1028" max="1028" width="3.140625" style="232" bestFit="1" customWidth="1"/>
    <col min="1029" max="1029" width="11" style="232" bestFit="1" customWidth="1"/>
    <col min="1030" max="1030" width="34.42578125" style="232" customWidth="1"/>
    <col min="1031" max="1280" width="9.140625" style="232"/>
    <col min="1281" max="1281" width="12.140625" style="232" customWidth="1"/>
    <col min="1282" max="1282" width="40.42578125" style="232" customWidth="1"/>
    <col min="1283" max="1283" width="11.7109375" style="232" customWidth="1"/>
    <col min="1284" max="1284" width="3.140625" style="232" bestFit="1" customWidth="1"/>
    <col min="1285" max="1285" width="11" style="232" bestFit="1" customWidth="1"/>
    <col min="1286" max="1286" width="34.42578125" style="232" customWidth="1"/>
    <col min="1287" max="1536" width="9.140625" style="232"/>
    <col min="1537" max="1537" width="12.140625" style="232" customWidth="1"/>
    <col min="1538" max="1538" width="40.42578125" style="232" customWidth="1"/>
    <col min="1539" max="1539" width="11.7109375" style="232" customWidth="1"/>
    <col min="1540" max="1540" width="3.140625" style="232" bestFit="1" customWidth="1"/>
    <col min="1541" max="1541" width="11" style="232" bestFit="1" customWidth="1"/>
    <col min="1542" max="1542" width="34.42578125" style="232" customWidth="1"/>
    <col min="1543" max="1792" width="9.140625" style="232"/>
    <col min="1793" max="1793" width="12.140625" style="232" customWidth="1"/>
    <col min="1794" max="1794" width="40.42578125" style="232" customWidth="1"/>
    <col min="1795" max="1795" width="11.7109375" style="232" customWidth="1"/>
    <col min="1796" max="1796" width="3.140625" style="232" bestFit="1" customWidth="1"/>
    <col min="1797" max="1797" width="11" style="232" bestFit="1" customWidth="1"/>
    <col min="1798" max="1798" width="34.42578125" style="232" customWidth="1"/>
    <col min="1799" max="2048" width="9.140625" style="232"/>
    <col min="2049" max="2049" width="12.140625" style="232" customWidth="1"/>
    <col min="2050" max="2050" width="40.42578125" style="232" customWidth="1"/>
    <col min="2051" max="2051" width="11.7109375" style="232" customWidth="1"/>
    <col min="2052" max="2052" width="3.140625" style="232" bestFit="1" customWidth="1"/>
    <col min="2053" max="2053" width="11" style="232" bestFit="1" customWidth="1"/>
    <col min="2054" max="2054" width="34.42578125" style="232" customWidth="1"/>
    <col min="2055" max="2304" width="9.140625" style="232"/>
    <col min="2305" max="2305" width="12.140625" style="232" customWidth="1"/>
    <col min="2306" max="2306" width="40.42578125" style="232" customWidth="1"/>
    <col min="2307" max="2307" width="11.7109375" style="232" customWidth="1"/>
    <col min="2308" max="2308" width="3.140625" style="232" bestFit="1" customWidth="1"/>
    <col min="2309" max="2309" width="11" style="232" bestFit="1" customWidth="1"/>
    <col min="2310" max="2310" width="34.42578125" style="232" customWidth="1"/>
    <col min="2311" max="2560" width="9.140625" style="232"/>
    <col min="2561" max="2561" width="12.140625" style="232" customWidth="1"/>
    <col min="2562" max="2562" width="40.42578125" style="232" customWidth="1"/>
    <col min="2563" max="2563" width="11.7109375" style="232" customWidth="1"/>
    <col min="2564" max="2564" width="3.140625" style="232" bestFit="1" customWidth="1"/>
    <col min="2565" max="2565" width="11" style="232" bestFit="1" customWidth="1"/>
    <col min="2566" max="2566" width="34.42578125" style="232" customWidth="1"/>
    <col min="2567" max="2816" width="9.140625" style="232"/>
    <col min="2817" max="2817" width="12.140625" style="232" customWidth="1"/>
    <col min="2818" max="2818" width="40.42578125" style="232" customWidth="1"/>
    <col min="2819" max="2819" width="11.7109375" style="232" customWidth="1"/>
    <col min="2820" max="2820" width="3.140625" style="232" bestFit="1" customWidth="1"/>
    <col min="2821" max="2821" width="11" style="232" bestFit="1" customWidth="1"/>
    <col min="2822" max="2822" width="34.42578125" style="232" customWidth="1"/>
    <col min="2823" max="3072" width="9.140625" style="232"/>
    <col min="3073" max="3073" width="12.140625" style="232" customWidth="1"/>
    <col min="3074" max="3074" width="40.42578125" style="232" customWidth="1"/>
    <col min="3075" max="3075" width="11.7109375" style="232" customWidth="1"/>
    <col min="3076" max="3076" width="3.140625" style="232" bestFit="1" customWidth="1"/>
    <col min="3077" max="3077" width="11" style="232" bestFit="1" customWidth="1"/>
    <col min="3078" max="3078" width="34.42578125" style="232" customWidth="1"/>
    <col min="3079" max="3328" width="9.140625" style="232"/>
    <col min="3329" max="3329" width="12.140625" style="232" customWidth="1"/>
    <col min="3330" max="3330" width="40.42578125" style="232" customWidth="1"/>
    <col min="3331" max="3331" width="11.7109375" style="232" customWidth="1"/>
    <col min="3332" max="3332" width="3.140625" style="232" bestFit="1" customWidth="1"/>
    <col min="3333" max="3333" width="11" style="232" bestFit="1" customWidth="1"/>
    <col min="3334" max="3334" width="34.42578125" style="232" customWidth="1"/>
    <col min="3335" max="3584" width="9.140625" style="232"/>
    <col min="3585" max="3585" width="12.140625" style="232" customWidth="1"/>
    <col min="3586" max="3586" width="40.42578125" style="232" customWidth="1"/>
    <col min="3587" max="3587" width="11.7109375" style="232" customWidth="1"/>
    <col min="3588" max="3588" width="3.140625" style="232" bestFit="1" customWidth="1"/>
    <col min="3589" max="3589" width="11" style="232" bestFit="1" customWidth="1"/>
    <col min="3590" max="3590" width="34.42578125" style="232" customWidth="1"/>
    <col min="3591" max="3840" width="9.140625" style="232"/>
    <col min="3841" max="3841" width="12.140625" style="232" customWidth="1"/>
    <col min="3842" max="3842" width="40.42578125" style="232" customWidth="1"/>
    <col min="3843" max="3843" width="11.7109375" style="232" customWidth="1"/>
    <col min="3844" max="3844" width="3.140625" style="232" bestFit="1" customWidth="1"/>
    <col min="3845" max="3845" width="11" style="232" bestFit="1" customWidth="1"/>
    <col min="3846" max="3846" width="34.42578125" style="232" customWidth="1"/>
    <col min="3847" max="4096" width="9.140625" style="232"/>
    <col min="4097" max="4097" width="12.140625" style="232" customWidth="1"/>
    <col min="4098" max="4098" width="40.42578125" style="232" customWidth="1"/>
    <col min="4099" max="4099" width="11.7109375" style="232" customWidth="1"/>
    <col min="4100" max="4100" width="3.140625" style="232" bestFit="1" customWidth="1"/>
    <col min="4101" max="4101" width="11" style="232" bestFit="1" customWidth="1"/>
    <col min="4102" max="4102" width="34.42578125" style="232" customWidth="1"/>
    <col min="4103" max="4352" width="9.140625" style="232"/>
    <col min="4353" max="4353" width="12.140625" style="232" customWidth="1"/>
    <col min="4354" max="4354" width="40.42578125" style="232" customWidth="1"/>
    <col min="4355" max="4355" width="11.7109375" style="232" customWidth="1"/>
    <col min="4356" max="4356" width="3.140625" style="232" bestFit="1" customWidth="1"/>
    <col min="4357" max="4357" width="11" style="232" bestFit="1" customWidth="1"/>
    <col min="4358" max="4358" width="34.42578125" style="232" customWidth="1"/>
    <col min="4359" max="4608" width="9.140625" style="232"/>
    <col min="4609" max="4609" width="12.140625" style="232" customWidth="1"/>
    <col min="4610" max="4610" width="40.42578125" style="232" customWidth="1"/>
    <col min="4611" max="4611" width="11.7109375" style="232" customWidth="1"/>
    <col min="4612" max="4612" width="3.140625" style="232" bestFit="1" customWidth="1"/>
    <col min="4613" max="4613" width="11" style="232" bestFit="1" customWidth="1"/>
    <col min="4614" max="4614" width="34.42578125" style="232" customWidth="1"/>
    <col min="4615" max="4864" width="9.140625" style="232"/>
    <col min="4865" max="4865" width="12.140625" style="232" customWidth="1"/>
    <col min="4866" max="4866" width="40.42578125" style="232" customWidth="1"/>
    <col min="4867" max="4867" width="11.7109375" style="232" customWidth="1"/>
    <col min="4868" max="4868" width="3.140625" style="232" bestFit="1" customWidth="1"/>
    <col min="4869" max="4869" width="11" style="232" bestFit="1" customWidth="1"/>
    <col min="4870" max="4870" width="34.42578125" style="232" customWidth="1"/>
    <col min="4871" max="5120" width="9.140625" style="232"/>
    <col min="5121" max="5121" width="12.140625" style="232" customWidth="1"/>
    <col min="5122" max="5122" width="40.42578125" style="232" customWidth="1"/>
    <col min="5123" max="5123" width="11.7109375" style="232" customWidth="1"/>
    <col min="5124" max="5124" width="3.140625" style="232" bestFit="1" customWidth="1"/>
    <col min="5125" max="5125" width="11" style="232" bestFit="1" customWidth="1"/>
    <col min="5126" max="5126" width="34.42578125" style="232" customWidth="1"/>
    <col min="5127" max="5376" width="9.140625" style="232"/>
    <col min="5377" max="5377" width="12.140625" style="232" customWidth="1"/>
    <col min="5378" max="5378" width="40.42578125" style="232" customWidth="1"/>
    <col min="5379" max="5379" width="11.7109375" style="232" customWidth="1"/>
    <col min="5380" max="5380" width="3.140625" style="232" bestFit="1" customWidth="1"/>
    <col min="5381" max="5381" width="11" style="232" bestFit="1" customWidth="1"/>
    <col min="5382" max="5382" width="34.42578125" style="232" customWidth="1"/>
    <col min="5383" max="5632" width="9.140625" style="232"/>
    <col min="5633" max="5633" width="12.140625" style="232" customWidth="1"/>
    <col min="5634" max="5634" width="40.42578125" style="232" customWidth="1"/>
    <col min="5635" max="5635" width="11.7109375" style="232" customWidth="1"/>
    <col min="5636" max="5636" width="3.140625" style="232" bestFit="1" customWidth="1"/>
    <col min="5637" max="5637" width="11" style="232" bestFit="1" customWidth="1"/>
    <col min="5638" max="5638" width="34.42578125" style="232" customWidth="1"/>
    <col min="5639" max="5888" width="9.140625" style="232"/>
    <col min="5889" max="5889" width="12.140625" style="232" customWidth="1"/>
    <col min="5890" max="5890" width="40.42578125" style="232" customWidth="1"/>
    <col min="5891" max="5891" width="11.7109375" style="232" customWidth="1"/>
    <col min="5892" max="5892" width="3.140625" style="232" bestFit="1" customWidth="1"/>
    <col min="5893" max="5893" width="11" style="232" bestFit="1" customWidth="1"/>
    <col min="5894" max="5894" width="34.42578125" style="232" customWidth="1"/>
    <col min="5895" max="6144" width="9.140625" style="232"/>
    <col min="6145" max="6145" width="12.140625" style="232" customWidth="1"/>
    <col min="6146" max="6146" width="40.42578125" style="232" customWidth="1"/>
    <col min="6147" max="6147" width="11.7109375" style="232" customWidth="1"/>
    <col min="6148" max="6148" width="3.140625" style="232" bestFit="1" customWidth="1"/>
    <col min="6149" max="6149" width="11" style="232" bestFit="1" customWidth="1"/>
    <col min="6150" max="6150" width="34.42578125" style="232" customWidth="1"/>
    <col min="6151" max="6400" width="9.140625" style="232"/>
    <col min="6401" max="6401" width="12.140625" style="232" customWidth="1"/>
    <col min="6402" max="6402" width="40.42578125" style="232" customWidth="1"/>
    <col min="6403" max="6403" width="11.7109375" style="232" customWidth="1"/>
    <col min="6404" max="6404" width="3.140625" style="232" bestFit="1" customWidth="1"/>
    <col min="6405" max="6405" width="11" style="232" bestFit="1" customWidth="1"/>
    <col min="6406" max="6406" width="34.42578125" style="232" customWidth="1"/>
    <col min="6407" max="6656" width="9.140625" style="232"/>
    <col min="6657" max="6657" width="12.140625" style="232" customWidth="1"/>
    <col min="6658" max="6658" width="40.42578125" style="232" customWidth="1"/>
    <col min="6659" max="6659" width="11.7109375" style="232" customWidth="1"/>
    <col min="6660" max="6660" width="3.140625" style="232" bestFit="1" customWidth="1"/>
    <col min="6661" max="6661" width="11" style="232" bestFit="1" customWidth="1"/>
    <col min="6662" max="6662" width="34.42578125" style="232" customWidth="1"/>
    <col min="6663" max="6912" width="9.140625" style="232"/>
    <col min="6913" max="6913" width="12.140625" style="232" customWidth="1"/>
    <col min="6914" max="6914" width="40.42578125" style="232" customWidth="1"/>
    <col min="6915" max="6915" width="11.7109375" style="232" customWidth="1"/>
    <col min="6916" max="6916" width="3.140625" style="232" bestFit="1" customWidth="1"/>
    <col min="6917" max="6917" width="11" style="232" bestFit="1" customWidth="1"/>
    <col min="6918" max="6918" width="34.42578125" style="232" customWidth="1"/>
    <col min="6919" max="7168" width="9.140625" style="232"/>
    <col min="7169" max="7169" width="12.140625" style="232" customWidth="1"/>
    <col min="7170" max="7170" width="40.42578125" style="232" customWidth="1"/>
    <col min="7171" max="7171" width="11.7109375" style="232" customWidth="1"/>
    <col min="7172" max="7172" width="3.140625" style="232" bestFit="1" customWidth="1"/>
    <col min="7173" max="7173" width="11" style="232" bestFit="1" customWidth="1"/>
    <col min="7174" max="7174" width="34.42578125" style="232" customWidth="1"/>
    <col min="7175" max="7424" width="9.140625" style="232"/>
    <col min="7425" max="7425" width="12.140625" style="232" customWidth="1"/>
    <col min="7426" max="7426" width="40.42578125" style="232" customWidth="1"/>
    <col min="7427" max="7427" width="11.7109375" style="232" customWidth="1"/>
    <col min="7428" max="7428" width="3.140625" style="232" bestFit="1" customWidth="1"/>
    <col min="7429" max="7429" width="11" style="232" bestFit="1" customWidth="1"/>
    <col min="7430" max="7430" width="34.42578125" style="232" customWidth="1"/>
    <col min="7431" max="7680" width="9.140625" style="232"/>
    <col min="7681" max="7681" width="12.140625" style="232" customWidth="1"/>
    <col min="7682" max="7682" width="40.42578125" style="232" customWidth="1"/>
    <col min="7683" max="7683" width="11.7109375" style="232" customWidth="1"/>
    <col min="7684" max="7684" width="3.140625" style="232" bestFit="1" customWidth="1"/>
    <col min="7685" max="7685" width="11" style="232" bestFit="1" customWidth="1"/>
    <col min="7686" max="7686" width="34.42578125" style="232" customWidth="1"/>
    <col min="7687" max="7936" width="9.140625" style="232"/>
    <col min="7937" max="7937" width="12.140625" style="232" customWidth="1"/>
    <col min="7938" max="7938" width="40.42578125" style="232" customWidth="1"/>
    <col min="7939" max="7939" width="11.7109375" style="232" customWidth="1"/>
    <col min="7940" max="7940" width="3.140625" style="232" bestFit="1" customWidth="1"/>
    <col min="7941" max="7941" width="11" style="232" bestFit="1" customWidth="1"/>
    <col min="7942" max="7942" width="34.42578125" style="232" customWidth="1"/>
    <col min="7943" max="8192" width="9.140625" style="232"/>
    <col min="8193" max="8193" width="12.140625" style="232" customWidth="1"/>
    <col min="8194" max="8194" width="40.42578125" style="232" customWidth="1"/>
    <col min="8195" max="8195" width="11.7109375" style="232" customWidth="1"/>
    <col min="8196" max="8196" width="3.140625" style="232" bestFit="1" customWidth="1"/>
    <col min="8197" max="8197" width="11" style="232" bestFit="1" customWidth="1"/>
    <col min="8198" max="8198" width="34.42578125" style="232" customWidth="1"/>
    <col min="8199" max="8448" width="9.140625" style="232"/>
    <col min="8449" max="8449" width="12.140625" style="232" customWidth="1"/>
    <col min="8450" max="8450" width="40.42578125" style="232" customWidth="1"/>
    <col min="8451" max="8451" width="11.7109375" style="232" customWidth="1"/>
    <col min="8452" max="8452" width="3.140625" style="232" bestFit="1" customWidth="1"/>
    <col min="8453" max="8453" width="11" style="232" bestFit="1" customWidth="1"/>
    <col min="8454" max="8454" width="34.42578125" style="232" customWidth="1"/>
    <col min="8455" max="8704" width="9.140625" style="232"/>
    <col min="8705" max="8705" width="12.140625" style="232" customWidth="1"/>
    <col min="8706" max="8706" width="40.42578125" style="232" customWidth="1"/>
    <col min="8707" max="8707" width="11.7109375" style="232" customWidth="1"/>
    <col min="8708" max="8708" width="3.140625" style="232" bestFit="1" customWidth="1"/>
    <col min="8709" max="8709" width="11" style="232" bestFit="1" customWidth="1"/>
    <col min="8710" max="8710" width="34.42578125" style="232" customWidth="1"/>
    <col min="8711" max="8960" width="9.140625" style="232"/>
    <col min="8961" max="8961" width="12.140625" style="232" customWidth="1"/>
    <col min="8962" max="8962" width="40.42578125" style="232" customWidth="1"/>
    <col min="8963" max="8963" width="11.7109375" style="232" customWidth="1"/>
    <col min="8964" max="8964" width="3.140625" style="232" bestFit="1" customWidth="1"/>
    <col min="8965" max="8965" width="11" style="232" bestFit="1" customWidth="1"/>
    <col min="8966" max="8966" width="34.42578125" style="232" customWidth="1"/>
    <col min="8967" max="9216" width="9.140625" style="232"/>
    <col min="9217" max="9217" width="12.140625" style="232" customWidth="1"/>
    <col min="9218" max="9218" width="40.42578125" style="232" customWidth="1"/>
    <col min="9219" max="9219" width="11.7109375" style="232" customWidth="1"/>
    <col min="9220" max="9220" width="3.140625" style="232" bestFit="1" customWidth="1"/>
    <col min="9221" max="9221" width="11" style="232" bestFit="1" customWidth="1"/>
    <col min="9222" max="9222" width="34.42578125" style="232" customWidth="1"/>
    <col min="9223" max="9472" width="9.140625" style="232"/>
    <col min="9473" max="9473" width="12.140625" style="232" customWidth="1"/>
    <col min="9474" max="9474" width="40.42578125" style="232" customWidth="1"/>
    <col min="9475" max="9475" width="11.7109375" style="232" customWidth="1"/>
    <col min="9476" max="9476" width="3.140625" style="232" bestFit="1" customWidth="1"/>
    <col min="9477" max="9477" width="11" style="232" bestFit="1" customWidth="1"/>
    <col min="9478" max="9478" width="34.42578125" style="232" customWidth="1"/>
    <col min="9479" max="9728" width="9.140625" style="232"/>
    <col min="9729" max="9729" width="12.140625" style="232" customWidth="1"/>
    <col min="9730" max="9730" width="40.42578125" style="232" customWidth="1"/>
    <col min="9731" max="9731" width="11.7109375" style="232" customWidth="1"/>
    <col min="9732" max="9732" width="3.140625" style="232" bestFit="1" customWidth="1"/>
    <col min="9733" max="9733" width="11" style="232" bestFit="1" customWidth="1"/>
    <col min="9734" max="9734" width="34.42578125" style="232" customWidth="1"/>
    <col min="9735" max="9984" width="9.140625" style="232"/>
    <col min="9985" max="9985" width="12.140625" style="232" customWidth="1"/>
    <col min="9986" max="9986" width="40.42578125" style="232" customWidth="1"/>
    <col min="9987" max="9987" width="11.7109375" style="232" customWidth="1"/>
    <col min="9988" max="9988" width="3.140625" style="232" bestFit="1" customWidth="1"/>
    <col min="9989" max="9989" width="11" style="232" bestFit="1" customWidth="1"/>
    <col min="9990" max="9990" width="34.42578125" style="232" customWidth="1"/>
    <col min="9991" max="10240" width="9.140625" style="232"/>
    <col min="10241" max="10241" width="12.140625" style="232" customWidth="1"/>
    <col min="10242" max="10242" width="40.42578125" style="232" customWidth="1"/>
    <col min="10243" max="10243" width="11.7109375" style="232" customWidth="1"/>
    <col min="10244" max="10244" width="3.140625" style="232" bestFit="1" customWidth="1"/>
    <col min="10245" max="10245" width="11" style="232" bestFit="1" customWidth="1"/>
    <col min="10246" max="10246" width="34.42578125" style="232" customWidth="1"/>
    <col min="10247" max="10496" width="9.140625" style="232"/>
    <col min="10497" max="10497" width="12.140625" style="232" customWidth="1"/>
    <col min="10498" max="10498" width="40.42578125" style="232" customWidth="1"/>
    <col min="10499" max="10499" width="11.7109375" style="232" customWidth="1"/>
    <col min="10500" max="10500" width="3.140625" style="232" bestFit="1" customWidth="1"/>
    <col min="10501" max="10501" width="11" style="232" bestFit="1" customWidth="1"/>
    <col min="10502" max="10502" width="34.42578125" style="232" customWidth="1"/>
    <col min="10503" max="10752" width="9.140625" style="232"/>
    <col min="10753" max="10753" width="12.140625" style="232" customWidth="1"/>
    <col min="10754" max="10754" width="40.42578125" style="232" customWidth="1"/>
    <col min="10755" max="10755" width="11.7109375" style="232" customWidth="1"/>
    <col min="10756" max="10756" width="3.140625" style="232" bestFit="1" customWidth="1"/>
    <col min="10757" max="10757" width="11" style="232" bestFit="1" customWidth="1"/>
    <col min="10758" max="10758" width="34.42578125" style="232" customWidth="1"/>
    <col min="10759" max="11008" width="9.140625" style="232"/>
    <col min="11009" max="11009" width="12.140625" style="232" customWidth="1"/>
    <col min="11010" max="11010" width="40.42578125" style="232" customWidth="1"/>
    <col min="11011" max="11011" width="11.7109375" style="232" customWidth="1"/>
    <col min="11012" max="11012" width="3.140625" style="232" bestFit="1" customWidth="1"/>
    <col min="11013" max="11013" width="11" style="232" bestFit="1" customWidth="1"/>
    <col min="11014" max="11014" width="34.42578125" style="232" customWidth="1"/>
    <col min="11015" max="11264" width="9.140625" style="232"/>
    <col min="11265" max="11265" width="12.140625" style="232" customWidth="1"/>
    <col min="11266" max="11266" width="40.42578125" style="232" customWidth="1"/>
    <col min="11267" max="11267" width="11.7109375" style="232" customWidth="1"/>
    <col min="11268" max="11268" width="3.140625" style="232" bestFit="1" customWidth="1"/>
    <col min="11269" max="11269" width="11" style="232" bestFit="1" customWidth="1"/>
    <col min="11270" max="11270" width="34.42578125" style="232" customWidth="1"/>
    <col min="11271" max="11520" width="9.140625" style="232"/>
    <col min="11521" max="11521" width="12.140625" style="232" customWidth="1"/>
    <col min="11522" max="11522" width="40.42578125" style="232" customWidth="1"/>
    <col min="11523" max="11523" width="11.7109375" style="232" customWidth="1"/>
    <col min="11524" max="11524" width="3.140625" style="232" bestFit="1" customWidth="1"/>
    <col min="11525" max="11525" width="11" style="232" bestFit="1" customWidth="1"/>
    <col min="11526" max="11526" width="34.42578125" style="232" customWidth="1"/>
    <col min="11527" max="11776" width="9.140625" style="232"/>
    <col min="11777" max="11777" width="12.140625" style="232" customWidth="1"/>
    <col min="11778" max="11778" width="40.42578125" style="232" customWidth="1"/>
    <col min="11779" max="11779" width="11.7109375" style="232" customWidth="1"/>
    <col min="11780" max="11780" width="3.140625" style="232" bestFit="1" customWidth="1"/>
    <col min="11781" max="11781" width="11" style="232" bestFit="1" customWidth="1"/>
    <col min="11782" max="11782" width="34.42578125" style="232" customWidth="1"/>
    <col min="11783" max="12032" width="9.140625" style="232"/>
    <col min="12033" max="12033" width="12.140625" style="232" customWidth="1"/>
    <col min="12034" max="12034" width="40.42578125" style="232" customWidth="1"/>
    <col min="12035" max="12035" width="11.7109375" style="232" customWidth="1"/>
    <col min="12036" max="12036" width="3.140625" style="232" bestFit="1" customWidth="1"/>
    <col min="12037" max="12037" width="11" style="232" bestFit="1" customWidth="1"/>
    <col min="12038" max="12038" width="34.42578125" style="232" customWidth="1"/>
    <col min="12039" max="12288" width="9.140625" style="232"/>
    <col min="12289" max="12289" width="12.140625" style="232" customWidth="1"/>
    <col min="12290" max="12290" width="40.42578125" style="232" customWidth="1"/>
    <col min="12291" max="12291" width="11.7109375" style="232" customWidth="1"/>
    <col min="12292" max="12292" width="3.140625" style="232" bestFit="1" customWidth="1"/>
    <col min="12293" max="12293" width="11" style="232" bestFit="1" customWidth="1"/>
    <col min="12294" max="12294" width="34.42578125" style="232" customWidth="1"/>
    <col min="12295" max="12544" width="9.140625" style="232"/>
    <col min="12545" max="12545" width="12.140625" style="232" customWidth="1"/>
    <col min="12546" max="12546" width="40.42578125" style="232" customWidth="1"/>
    <col min="12547" max="12547" width="11.7109375" style="232" customWidth="1"/>
    <col min="12548" max="12548" width="3.140625" style="232" bestFit="1" customWidth="1"/>
    <col min="12549" max="12549" width="11" style="232" bestFit="1" customWidth="1"/>
    <col min="12550" max="12550" width="34.42578125" style="232" customWidth="1"/>
    <col min="12551" max="12800" width="9.140625" style="232"/>
    <col min="12801" max="12801" width="12.140625" style="232" customWidth="1"/>
    <col min="12802" max="12802" width="40.42578125" style="232" customWidth="1"/>
    <col min="12803" max="12803" width="11.7109375" style="232" customWidth="1"/>
    <col min="12804" max="12804" width="3.140625" style="232" bestFit="1" customWidth="1"/>
    <col min="12805" max="12805" width="11" style="232" bestFit="1" customWidth="1"/>
    <col min="12806" max="12806" width="34.42578125" style="232" customWidth="1"/>
    <col min="12807" max="13056" width="9.140625" style="232"/>
    <col min="13057" max="13057" width="12.140625" style="232" customWidth="1"/>
    <col min="13058" max="13058" width="40.42578125" style="232" customWidth="1"/>
    <col min="13059" max="13059" width="11.7109375" style="232" customWidth="1"/>
    <col min="13060" max="13060" width="3.140625" style="232" bestFit="1" customWidth="1"/>
    <col min="13061" max="13061" width="11" style="232" bestFit="1" customWidth="1"/>
    <col min="13062" max="13062" width="34.42578125" style="232" customWidth="1"/>
    <col min="13063" max="13312" width="9.140625" style="232"/>
    <col min="13313" max="13313" width="12.140625" style="232" customWidth="1"/>
    <col min="13314" max="13314" width="40.42578125" style="232" customWidth="1"/>
    <col min="13315" max="13315" width="11.7109375" style="232" customWidth="1"/>
    <col min="13316" max="13316" width="3.140625" style="232" bestFit="1" customWidth="1"/>
    <col min="13317" max="13317" width="11" style="232" bestFit="1" customWidth="1"/>
    <col min="13318" max="13318" width="34.42578125" style="232" customWidth="1"/>
    <col min="13319" max="13568" width="9.140625" style="232"/>
    <col min="13569" max="13569" width="12.140625" style="232" customWidth="1"/>
    <col min="13570" max="13570" width="40.42578125" style="232" customWidth="1"/>
    <col min="13571" max="13571" width="11.7109375" style="232" customWidth="1"/>
    <col min="13572" max="13572" width="3.140625" style="232" bestFit="1" customWidth="1"/>
    <col min="13573" max="13573" width="11" style="232" bestFit="1" customWidth="1"/>
    <col min="13574" max="13574" width="34.42578125" style="232" customWidth="1"/>
    <col min="13575" max="13824" width="9.140625" style="232"/>
    <col min="13825" max="13825" width="12.140625" style="232" customWidth="1"/>
    <col min="13826" max="13826" width="40.42578125" style="232" customWidth="1"/>
    <col min="13827" max="13827" width="11.7109375" style="232" customWidth="1"/>
    <col min="13828" max="13828" width="3.140625" style="232" bestFit="1" customWidth="1"/>
    <col min="13829" max="13829" width="11" style="232" bestFit="1" customWidth="1"/>
    <col min="13830" max="13830" width="34.42578125" style="232" customWidth="1"/>
    <col min="13831" max="14080" width="9.140625" style="232"/>
    <col min="14081" max="14081" width="12.140625" style="232" customWidth="1"/>
    <col min="14082" max="14082" width="40.42578125" style="232" customWidth="1"/>
    <col min="14083" max="14083" width="11.7109375" style="232" customWidth="1"/>
    <col min="14084" max="14084" width="3.140625" style="232" bestFit="1" customWidth="1"/>
    <col min="14085" max="14085" width="11" style="232" bestFit="1" customWidth="1"/>
    <col min="14086" max="14086" width="34.42578125" style="232" customWidth="1"/>
    <col min="14087" max="14336" width="9.140625" style="232"/>
    <col min="14337" max="14337" width="12.140625" style="232" customWidth="1"/>
    <col min="14338" max="14338" width="40.42578125" style="232" customWidth="1"/>
    <col min="14339" max="14339" width="11.7109375" style="232" customWidth="1"/>
    <col min="14340" max="14340" width="3.140625" style="232" bestFit="1" customWidth="1"/>
    <col min="14341" max="14341" width="11" style="232" bestFit="1" customWidth="1"/>
    <col min="14342" max="14342" width="34.42578125" style="232" customWidth="1"/>
    <col min="14343" max="14592" width="9.140625" style="232"/>
    <col min="14593" max="14593" width="12.140625" style="232" customWidth="1"/>
    <col min="14594" max="14594" width="40.42578125" style="232" customWidth="1"/>
    <col min="14595" max="14595" width="11.7109375" style="232" customWidth="1"/>
    <col min="14596" max="14596" width="3.140625" style="232" bestFit="1" customWidth="1"/>
    <col min="14597" max="14597" width="11" style="232" bestFit="1" customWidth="1"/>
    <col min="14598" max="14598" width="34.42578125" style="232" customWidth="1"/>
    <col min="14599" max="14848" width="9.140625" style="232"/>
    <col min="14849" max="14849" width="12.140625" style="232" customWidth="1"/>
    <col min="14850" max="14850" width="40.42578125" style="232" customWidth="1"/>
    <col min="14851" max="14851" width="11.7109375" style="232" customWidth="1"/>
    <col min="14852" max="14852" width="3.140625" style="232" bestFit="1" customWidth="1"/>
    <col min="14853" max="14853" width="11" style="232" bestFit="1" customWidth="1"/>
    <col min="14854" max="14854" width="34.42578125" style="232" customWidth="1"/>
    <col min="14855" max="15104" width="9.140625" style="232"/>
    <col min="15105" max="15105" width="12.140625" style="232" customWidth="1"/>
    <col min="15106" max="15106" width="40.42578125" style="232" customWidth="1"/>
    <col min="15107" max="15107" width="11.7109375" style="232" customWidth="1"/>
    <col min="15108" max="15108" width="3.140625" style="232" bestFit="1" customWidth="1"/>
    <col min="15109" max="15109" width="11" style="232" bestFit="1" customWidth="1"/>
    <col min="15110" max="15110" width="34.42578125" style="232" customWidth="1"/>
    <col min="15111" max="15360" width="9.140625" style="232"/>
    <col min="15361" max="15361" width="12.140625" style="232" customWidth="1"/>
    <col min="15362" max="15362" width="40.42578125" style="232" customWidth="1"/>
    <col min="15363" max="15363" width="11.7109375" style="232" customWidth="1"/>
    <col min="15364" max="15364" width="3.140625" style="232" bestFit="1" customWidth="1"/>
    <col min="15365" max="15365" width="11" style="232" bestFit="1" customWidth="1"/>
    <col min="15366" max="15366" width="34.42578125" style="232" customWidth="1"/>
    <col min="15367" max="15616" width="9.140625" style="232"/>
    <col min="15617" max="15617" width="12.140625" style="232" customWidth="1"/>
    <col min="15618" max="15618" width="40.42578125" style="232" customWidth="1"/>
    <col min="15619" max="15619" width="11.7109375" style="232" customWidth="1"/>
    <col min="15620" max="15620" width="3.140625" style="232" bestFit="1" customWidth="1"/>
    <col min="15621" max="15621" width="11" style="232" bestFit="1" customWidth="1"/>
    <col min="15622" max="15622" width="34.42578125" style="232" customWidth="1"/>
    <col min="15623" max="15872" width="9.140625" style="232"/>
    <col min="15873" max="15873" width="12.140625" style="232" customWidth="1"/>
    <col min="15874" max="15874" width="40.42578125" style="232" customWidth="1"/>
    <col min="15875" max="15875" width="11.7109375" style="232" customWidth="1"/>
    <col min="15876" max="15876" width="3.140625" style="232" bestFit="1" customWidth="1"/>
    <col min="15877" max="15877" width="11" style="232" bestFit="1" customWidth="1"/>
    <col min="15878" max="15878" width="34.42578125" style="232" customWidth="1"/>
    <col min="15879" max="16128" width="9.140625" style="232"/>
    <col min="16129" max="16129" width="12.140625" style="232" customWidth="1"/>
    <col min="16130" max="16130" width="40.42578125" style="232" customWidth="1"/>
    <col min="16131" max="16131" width="11.7109375" style="232" customWidth="1"/>
    <col min="16132" max="16132" width="3.140625" style="232" bestFit="1" customWidth="1"/>
    <col min="16133" max="16133" width="11" style="232" bestFit="1" customWidth="1"/>
    <col min="16134" max="16134" width="34.42578125" style="232" customWidth="1"/>
    <col min="16135" max="16384" width="9.140625" style="232"/>
  </cols>
  <sheetData>
    <row r="1" spans="1:8" s="221" customFormat="1" ht="38.25" customHeight="1" x14ac:dyDescent="0.25">
      <c r="A1" s="496" t="s">
        <v>127</v>
      </c>
      <c r="B1" s="496"/>
      <c r="C1" s="496"/>
      <c r="D1" s="496"/>
      <c r="E1" s="220"/>
      <c r="F1" s="220"/>
      <c r="H1" s="222"/>
    </row>
    <row r="2" spans="1:8" s="224" customFormat="1" x14ac:dyDescent="0.2">
      <c r="A2" s="223"/>
      <c r="B2" s="223"/>
      <c r="C2" s="223"/>
      <c r="D2" s="223"/>
      <c r="E2" s="223"/>
      <c r="F2" s="223"/>
      <c r="H2" s="225"/>
    </row>
    <row r="3" spans="1:8" s="227" customFormat="1" x14ac:dyDescent="0.2">
      <c r="A3" s="226" t="s">
        <v>75</v>
      </c>
      <c r="B3" s="497" t="s">
        <v>128</v>
      </c>
      <c r="C3" s="497"/>
      <c r="D3" s="497"/>
      <c r="E3" s="223"/>
    </row>
    <row r="4" spans="1:8" s="227" customFormat="1" ht="27" customHeight="1" x14ac:dyDescent="0.2">
      <c r="A4" s="226" t="s">
        <v>2</v>
      </c>
      <c r="B4" s="497" t="str">
        <f>PLANILHA!B3</f>
        <v>CONSTRUÇÃO DE ESTAÇÃO DE TRATAMENTO DE ÁGUA DE CASTELINHO</v>
      </c>
      <c r="C4" s="497"/>
      <c r="D4" s="497"/>
      <c r="E4" s="223"/>
    </row>
    <row r="5" spans="1:8" s="227" customFormat="1" x14ac:dyDescent="0.2">
      <c r="A5" s="226" t="s">
        <v>76</v>
      </c>
      <c r="B5" s="228"/>
      <c r="C5" s="229"/>
      <c r="D5" s="229"/>
      <c r="E5" s="223"/>
    </row>
    <row r="6" spans="1:8" s="227" customFormat="1" x14ac:dyDescent="0.2">
      <c r="A6" s="230"/>
      <c r="B6" s="231"/>
      <c r="C6" s="223"/>
      <c r="E6" s="223"/>
    </row>
    <row r="7" spans="1:8" x14ac:dyDescent="0.2">
      <c r="A7" s="495" t="s">
        <v>77</v>
      </c>
      <c r="B7" s="495"/>
      <c r="C7" s="495"/>
      <c r="D7" s="495"/>
    </row>
    <row r="8" spans="1:8" s="233" customFormat="1" ht="8.1" customHeight="1" x14ac:dyDescent="0.2">
      <c r="B8" s="234"/>
      <c r="C8" s="235"/>
      <c r="D8" s="236"/>
    </row>
    <row r="9" spans="1:8" x14ac:dyDescent="0.2">
      <c r="B9" s="237" t="s">
        <v>78</v>
      </c>
      <c r="C9" s="235"/>
      <c r="D9" s="236"/>
    </row>
    <row r="10" spans="1:8" ht="8.1" customHeight="1" x14ac:dyDescent="0.2">
      <c r="C10" s="235"/>
      <c r="D10" s="236"/>
    </row>
    <row r="11" spans="1:8" x14ac:dyDescent="0.2">
      <c r="A11" s="495" t="s">
        <v>79</v>
      </c>
      <c r="B11" s="495"/>
      <c r="C11" s="495"/>
      <c r="D11" s="495"/>
    </row>
    <row r="12" spans="1:8" s="233" customFormat="1" ht="6" x14ac:dyDescent="0.15">
      <c r="C12" s="238"/>
      <c r="D12" s="234"/>
    </row>
    <row r="13" spans="1:8" x14ac:dyDescent="0.2">
      <c r="B13" s="237" t="s">
        <v>306</v>
      </c>
      <c r="C13" s="238"/>
      <c r="D13" s="234"/>
    </row>
    <row r="14" spans="1:8" ht="8.1" customHeight="1" x14ac:dyDescent="0.2">
      <c r="B14" s="239"/>
      <c r="D14" s="239"/>
      <c r="E14" s="239"/>
      <c r="F14" s="239"/>
    </row>
    <row r="15" spans="1:8" x14ac:dyDescent="0.2">
      <c r="A15" s="495" t="s">
        <v>80</v>
      </c>
      <c r="B15" s="495"/>
      <c r="C15" s="495"/>
      <c r="D15" s="495"/>
    </row>
    <row r="16" spans="1:8" s="233" customFormat="1" ht="6" x14ac:dyDescent="0.15">
      <c r="C16" s="238"/>
      <c r="D16" s="238"/>
    </row>
    <row r="17" spans="1:6" x14ac:dyDescent="0.2">
      <c r="A17" s="240"/>
      <c r="B17" s="241" t="s">
        <v>301</v>
      </c>
      <c r="C17" s="242">
        <v>4.0599999999999996</v>
      </c>
      <c r="D17" s="243" t="s">
        <v>62</v>
      </c>
      <c r="F17" s="244"/>
    </row>
    <row r="18" spans="1:6" x14ac:dyDescent="0.2">
      <c r="A18" s="240"/>
      <c r="B18" s="241" t="s">
        <v>342</v>
      </c>
      <c r="C18" s="242">
        <v>1</v>
      </c>
      <c r="D18" s="243" t="s">
        <v>62</v>
      </c>
      <c r="F18" s="244"/>
    </row>
    <row r="19" spans="1:6" x14ac:dyDescent="0.2">
      <c r="A19" s="240"/>
      <c r="B19" s="241" t="s">
        <v>343</v>
      </c>
      <c r="C19" s="242">
        <v>8.19</v>
      </c>
      <c r="D19" s="243" t="s">
        <v>62</v>
      </c>
      <c r="F19" s="244"/>
    </row>
    <row r="20" spans="1:6" x14ac:dyDescent="0.2">
      <c r="A20" s="240"/>
      <c r="B20" s="241" t="s">
        <v>344</v>
      </c>
      <c r="C20" s="242">
        <v>0.61</v>
      </c>
      <c r="D20" s="243" t="s">
        <v>62</v>
      </c>
      <c r="F20" s="244"/>
    </row>
    <row r="21" spans="1:6" ht="8.1" customHeight="1" x14ac:dyDescent="0.2">
      <c r="B21" s="245"/>
      <c r="C21" s="246"/>
      <c r="D21" s="247"/>
      <c r="F21" s="244"/>
    </row>
    <row r="22" spans="1:6" x14ac:dyDescent="0.2">
      <c r="A22" s="240"/>
      <c r="B22" s="241" t="s">
        <v>302</v>
      </c>
      <c r="C22" s="242">
        <v>8</v>
      </c>
      <c r="D22" s="243" t="s">
        <v>62</v>
      </c>
      <c r="F22" s="244"/>
    </row>
    <row r="23" spans="1:6" ht="11.25" customHeight="1" x14ac:dyDescent="0.2">
      <c r="D23" s="239"/>
    </row>
    <row r="24" spans="1:6" ht="12.75" customHeight="1" x14ac:dyDescent="0.2">
      <c r="A24" s="495" t="s">
        <v>81</v>
      </c>
      <c r="B24" s="495"/>
      <c r="C24" s="495"/>
      <c r="D24" s="495"/>
    </row>
    <row r="25" spans="1:6" ht="8.1" customHeight="1" x14ac:dyDescent="0.2">
      <c r="A25" s="236"/>
      <c r="B25" s="236"/>
      <c r="C25" s="236"/>
      <c r="D25" s="236"/>
    </row>
    <row r="26" spans="1:6" ht="12.75" customHeight="1" x14ac:dyDescent="0.2">
      <c r="A26" s="236"/>
      <c r="B26" s="248" t="s">
        <v>82</v>
      </c>
      <c r="C26" s="249">
        <f>C29+C31+C32+C33</f>
        <v>7.65</v>
      </c>
      <c r="D26" s="250" t="s">
        <v>62</v>
      </c>
    </row>
    <row r="27" spans="1:6" ht="12.75" customHeight="1" x14ac:dyDescent="0.2">
      <c r="A27" s="236"/>
      <c r="B27" s="236"/>
      <c r="C27" s="236"/>
      <c r="D27" s="236"/>
    </row>
    <row r="28" spans="1:6" ht="13.5" customHeight="1" x14ac:dyDescent="0.2">
      <c r="A28" s="236"/>
      <c r="B28" s="251"/>
      <c r="C28" s="242"/>
      <c r="D28" s="250" t="s">
        <v>62</v>
      </c>
    </row>
    <row r="29" spans="1:6" ht="12.75" customHeight="1" x14ac:dyDescent="0.2">
      <c r="A29" s="236"/>
      <c r="B29" s="251"/>
      <c r="C29" s="242"/>
      <c r="D29" s="250" t="s">
        <v>62</v>
      </c>
    </row>
    <row r="30" spans="1:6" s="233" customFormat="1" ht="8.1" customHeight="1" x14ac:dyDescent="0.15">
      <c r="C30" s="238"/>
      <c r="D30" s="238"/>
    </row>
    <row r="31" spans="1:6" x14ac:dyDescent="0.2">
      <c r="B31" s="251" t="s">
        <v>63</v>
      </c>
      <c r="C31" s="252">
        <v>3</v>
      </c>
      <c r="D31" s="253" t="s">
        <v>62</v>
      </c>
      <c r="F31" s="244"/>
    </row>
    <row r="32" spans="1:6" ht="12.75" customHeight="1" x14ac:dyDescent="0.2">
      <c r="B32" s="251" t="s">
        <v>64</v>
      </c>
      <c r="C32" s="252">
        <v>0.65</v>
      </c>
      <c r="D32" s="253" t="s">
        <v>62</v>
      </c>
    </row>
    <row r="33" spans="1:6" ht="12.75" customHeight="1" x14ac:dyDescent="0.2">
      <c r="B33" s="251" t="s">
        <v>303</v>
      </c>
      <c r="C33" s="252">
        <v>4</v>
      </c>
      <c r="D33" s="243" t="s">
        <v>62</v>
      </c>
    </row>
    <row r="34" spans="1:6" ht="8.1" customHeight="1" x14ac:dyDescent="0.2">
      <c r="D34" s="239"/>
    </row>
    <row r="35" spans="1:6" x14ac:dyDescent="0.2">
      <c r="A35" s="495" t="s">
        <v>83</v>
      </c>
      <c r="B35" s="495"/>
      <c r="C35" s="495"/>
      <c r="D35" s="495"/>
    </row>
    <row r="36" spans="1:6" s="233" customFormat="1" ht="6" x14ac:dyDescent="0.15">
      <c r="C36" s="238"/>
      <c r="D36" s="234"/>
    </row>
    <row r="37" spans="1:6" ht="12.75" customHeight="1" x14ac:dyDescent="0.2">
      <c r="B37" s="239" t="s">
        <v>304</v>
      </c>
      <c r="C37" s="499">
        <v>0.3196</v>
      </c>
      <c r="D37" s="500"/>
      <c r="E37" s="254" t="str">
        <f>[1]Auxiliar!A17</f>
        <v>Atende</v>
      </c>
      <c r="F37" s="255"/>
    </row>
    <row r="38" spans="1:6" ht="12.75" customHeight="1" x14ac:dyDescent="0.2">
      <c r="B38" s="239" t="s">
        <v>305</v>
      </c>
      <c r="C38" s="501"/>
      <c r="D38" s="502"/>
      <c r="F38" s="256"/>
    </row>
    <row r="39" spans="1:6" x14ac:dyDescent="0.2">
      <c r="C39" s="257"/>
    </row>
    <row r="40" spans="1:6" x14ac:dyDescent="0.2">
      <c r="A40" s="503" t="s">
        <v>129</v>
      </c>
      <c r="B40" s="503"/>
      <c r="C40" s="503"/>
      <c r="D40" s="503"/>
    </row>
    <row r="41" spans="1:6" x14ac:dyDescent="0.2">
      <c r="A41" s="503" t="str">
        <f>CONCATENATE("do ISS para ", B13," é de ",C28," %",", com a respectiva alíquota de ",C29,"  %")</f>
        <v>do ISS para Redes de Água é de  %, com a respectiva alíquota de   %</v>
      </c>
      <c r="B41" s="503"/>
      <c r="C41" s="503"/>
    </row>
    <row r="42" spans="1:6" x14ac:dyDescent="0.2">
      <c r="A42" s="258"/>
    </row>
    <row r="43" spans="1:6" x14ac:dyDescent="0.2">
      <c r="A43" s="498" t="s">
        <v>130</v>
      </c>
      <c r="B43" s="498"/>
      <c r="C43" s="498"/>
      <c r="D43" s="498"/>
    </row>
    <row r="44" spans="1:6" x14ac:dyDescent="0.2">
      <c r="A44" s="498" t="str">
        <f>CONCATENATE("elaboração do orçamento foi ",B9,", e que esta é a alternativa mais adequada para ")</f>
        <v xml:space="preserve">elaboração do orçamento foi Com Desoneração, e que esta é a alternativa mais adequada para </v>
      </c>
      <c r="B44" s="498"/>
      <c r="C44" s="498"/>
      <c r="D44" s="498"/>
    </row>
    <row r="45" spans="1:6" x14ac:dyDescent="0.2">
      <c r="A45" s="498" t="s">
        <v>131</v>
      </c>
      <c r="B45" s="498"/>
      <c r="C45" s="498"/>
      <c r="D45" s="498"/>
    </row>
    <row r="49" spans="1:3" x14ac:dyDescent="0.2">
      <c r="A49" s="240" t="s">
        <v>132</v>
      </c>
      <c r="B49" s="259" t="s">
        <v>50</v>
      </c>
    </row>
    <row r="50" spans="1:3" x14ac:dyDescent="0.2">
      <c r="A50" s="240" t="s">
        <v>133</v>
      </c>
      <c r="B50" s="260" t="s">
        <v>134</v>
      </c>
    </row>
    <row r="52" spans="1:3" x14ac:dyDescent="0.2">
      <c r="C52" s="232"/>
    </row>
    <row r="54" spans="1:3" x14ac:dyDescent="0.2">
      <c r="A54" s="240" t="s">
        <v>135</v>
      </c>
      <c r="B54" s="259" t="s">
        <v>202</v>
      </c>
    </row>
    <row r="55" spans="1:3" x14ac:dyDescent="0.2">
      <c r="A55" s="240" t="s">
        <v>136</v>
      </c>
      <c r="B55" s="260" t="s">
        <v>137</v>
      </c>
    </row>
  </sheetData>
  <sheetProtection selectLockedCells="1" autoFilter="0"/>
  <protectedRanges>
    <protectedRange sqref="C17:C20" name="Intervalo1"/>
    <protectedRange sqref="C21:C22 C31:C33" name="Intervalo2"/>
  </protectedRanges>
  <mergeCells count="14">
    <mergeCell ref="A44:D44"/>
    <mergeCell ref="A45:D45"/>
    <mergeCell ref="A24:D24"/>
    <mergeCell ref="A35:D35"/>
    <mergeCell ref="C37:D38"/>
    <mergeCell ref="A40:D40"/>
    <mergeCell ref="A41:C41"/>
    <mergeCell ref="A43:D43"/>
    <mergeCell ref="A15:D15"/>
    <mergeCell ref="A1:D1"/>
    <mergeCell ref="B3:D3"/>
    <mergeCell ref="B4:D4"/>
    <mergeCell ref="A7:D7"/>
    <mergeCell ref="A11:D11"/>
  </mergeCells>
  <conditionalFormatting sqref="E37:F37">
    <cfRule type="cellIs" dxfId="0" priority="1" stopIfTrue="1" operator="equal">
      <formula>"Atende"</formula>
    </cfRule>
  </conditionalFormatting>
  <dataValidations count="4">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xr:uid="{B0496044-D1BF-4174-B07B-8CA108EE70B9}">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754C1540-8828-4D23-B466-C0EDD5B4F512}">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4 IX65544 ST65544 ACP65544 AML65544 AWH65544 BGD65544 BPZ65544 BZV65544 CJR65544 CTN65544 DDJ65544 DNF65544 DXB65544 EGX65544 EQT65544 FAP65544 FKL65544 FUH65544 GED65544 GNZ65544 GXV65544 HHR65544 HRN65544 IBJ65544 ILF65544 IVB65544 JEX65544 JOT65544 JYP65544 KIL65544 KSH65544 LCD65544 LLZ65544 LVV65544 MFR65544 MPN65544 MZJ65544 NJF65544 NTB65544 OCX65544 OMT65544 OWP65544 PGL65544 PQH65544 QAD65544 QJZ65544 QTV65544 RDR65544 RNN65544 RXJ65544 SHF65544 SRB65544 TAX65544 TKT65544 TUP65544 UEL65544 UOH65544 UYD65544 VHZ65544 VRV65544 WBR65544 WLN65544 WVJ65544 B131080 IX131080 ST131080 ACP131080 AML131080 AWH131080 BGD131080 BPZ131080 BZV131080 CJR131080 CTN131080 DDJ131080 DNF131080 DXB131080 EGX131080 EQT131080 FAP131080 FKL131080 FUH131080 GED131080 GNZ131080 GXV131080 HHR131080 HRN131080 IBJ131080 ILF131080 IVB131080 JEX131080 JOT131080 JYP131080 KIL131080 KSH131080 LCD131080 LLZ131080 LVV131080 MFR131080 MPN131080 MZJ131080 NJF131080 NTB131080 OCX131080 OMT131080 OWP131080 PGL131080 PQH131080 QAD131080 QJZ131080 QTV131080 RDR131080 RNN131080 RXJ131080 SHF131080 SRB131080 TAX131080 TKT131080 TUP131080 UEL131080 UOH131080 UYD131080 VHZ131080 VRV131080 WBR131080 WLN131080 WVJ131080 B196616 IX196616 ST196616 ACP196616 AML196616 AWH196616 BGD196616 BPZ196616 BZV196616 CJR196616 CTN196616 DDJ196616 DNF196616 DXB196616 EGX196616 EQT196616 FAP196616 FKL196616 FUH196616 GED196616 GNZ196616 GXV196616 HHR196616 HRN196616 IBJ196616 ILF196616 IVB196616 JEX196616 JOT196616 JYP196616 KIL196616 KSH196616 LCD196616 LLZ196616 LVV196616 MFR196616 MPN196616 MZJ196616 NJF196616 NTB196616 OCX196616 OMT196616 OWP196616 PGL196616 PQH196616 QAD196616 QJZ196616 QTV196616 RDR196616 RNN196616 RXJ196616 SHF196616 SRB196616 TAX196616 TKT196616 TUP196616 UEL196616 UOH196616 UYD196616 VHZ196616 VRV196616 WBR196616 WLN196616 WVJ196616 B262152 IX262152 ST262152 ACP262152 AML262152 AWH262152 BGD262152 BPZ262152 BZV262152 CJR262152 CTN262152 DDJ262152 DNF262152 DXB262152 EGX262152 EQT262152 FAP262152 FKL262152 FUH262152 GED262152 GNZ262152 GXV262152 HHR262152 HRN262152 IBJ262152 ILF262152 IVB262152 JEX262152 JOT262152 JYP262152 KIL262152 KSH262152 LCD262152 LLZ262152 LVV262152 MFR262152 MPN262152 MZJ262152 NJF262152 NTB262152 OCX262152 OMT262152 OWP262152 PGL262152 PQH262152 QAD262152 QJZ262152 QTV262152 RDR262152 RNN262152 RXJ262152 SHF262152 SRB262152 TAX262152 TKT262152 TUP262152 UEL262152 UOH262152 UYD262152 VHZ262152 VRV262152 WBR262152 WLN262152 WVJ262152 B327688 IX327688 ST327688 ACP327688 AML327688 AWH327688 BGD327688 BPZ327688 BZV327688 CJR327688 CTN327688 DDJ327688 DNF327688 DXB327688 EGX327688 EQT327688 FAP327688 FKL327688 FUH327688 GED327688 GNZ327688 GXV327688 HHR327688 HRN327688 IBJ327688 ILF327688 IVB327688 JEX327688 JOT327688 JYP327688 KIL327688 KSH327688 LCD327688 LLZ327688 LVV327688 MFR327688 MPN327688 MZJ327688 NJF327688 NTB327688 OCX327688 OMT327688 OWP327688 PGL327688 PQH327688 QAD327688 QJZ327688 QTV327688 RDR327688 RNN327688 RXJ327688 SHF327688 SRB327688 TAX327688 TKT327688 TUP327688 UEL327688 UOH327688 UYD327688 VHZ327688 VRV327688 WBR327688 WLN327688 WVJ327688 B393224 IX393224 ST393224 ACP393224 AML393224 AWH393224 BGD393224 BPZ393224 BZV393224 CJR393224 CTN393224 DDJ393224 DNF393224 DXB393224 EGX393224 EQT393224 FAP393224 FKL393224 FUH393224 GED393224 GNZ393224 GXV393224 HHR393224 HRN393224 IBJ393224 ILF393224 IVB393224 JEX393224 JOT393224 JYP393224 KIL393224 KSH393224 LCD393224 LLZ393224 LVV393224 MFR393224 MPN393224 MZJ393224 NJF393224 NTB393224 OCX393224 OMT393224 OWP393224 PGL393224 PQH393224 QAD393224 QJZ393224 QTV393224 RDR393224 RNN393224 RXJ393224 SHF393224 SRB393224 TAX393224 TKT393224 TUP393224 UEL393224 UOH393224 UYD393224 VHZ393224 VRV393224 WBR393224 WLN393224 WVJ393224 B458760 IX458760 ST458760 ACP458760 AML458760 AWH458760 BGD458760 BPZ458760 BZV458760 CJR458760 CTN458760 DDJ458760 DNF458760 DXB458760 EGX458760 EQT458760 FAP458760 FKL458760 FUH458760 GED458760 GNZ458760 GXV458760 HHR458760 HRN458760 IBJ458760 ILF458760 IVB458760 JEX458760 JOT458760 JYP458760 KIL458760 KSH458760 LCD458760 LLZ458760 LVV458760 MFR458760 MPN458760 MZJ458760 NJF458760 NTB458760 OCX458760 OMT458760 OWP458760 PGL458760 PQH458760 QAD458760 QJZ458760 QTV458760 RDR458760 RNN458760 RXJ458760 SHF458760 SRB458760 TAX458760 TKT458760 TUP458760 UEL458760 UOH458760 UYD458760 VHZ458760 VRV458760 WBR458760 WLN458760 WVJ458760 B524296 IX524296 ST524296 ACP524296 AML524296 AWH524296 BGD524296 BPZ524296 BZV524296 CJR524296 CTN524296 DDJ524296 DNF524296 DXB524296 EGX524296 EQT524296 FAP524296 FKL524296 FUH524296 GED524296 GNZ524296 GXV524296 HHR524296 HRN524296 IBJ524296 ILF524296 IVB524296 JEX524296 JOT524296 JYP524296 KIL524296 KSH524296 LCD524296 LLZ524296 LVV524296 MFR524296 MPN524296 MZJ524296 NJF524296 NTB524296 OCX524296 OMT524296 OWP524296 PGL524296 PQH524296 QAD524296 QJZ524296 QTV524296 RDR524296 RNN524296 RXJ524296 SHF524296 SRB524296 TAX524296 TKT524296 TUP524296 UEL524296 UOH524296 UYD524296 VHZ524296 VRV524296 WBR524296 WLN524296 WVJ524296 B589832 IX589832 ST589832 ACP589832 AML589832 AWH589832 BGD589832 BPZ589832 BZV589832 CJR589832 CTN589832 DDJ589832 DNF589832 DXB589832 EGX589832 EQT589832 FAP589832 FKL589832 FUH589832 GED589832 GNZ589832 GXV589832 HHR589832 HRN589832 IBJ589832 ILF589832 IVB589832 JEX589832 JOT589832 JYP589832 KIL589832 KSH589832 LCD589832 LLZ589832 LVV589832 MFR589832 MPN589832 MZJ589832 NJF589832 NTB589832 OCX589832 OMT589832 OWP589832 PGL589832 PQH589832 QAD589832 QJZ589832 QTV589832 RDR589832 RNN589832 RXJ589832 SHF589832 SRB589832 TAX589832 TKT589832 TUP589832 UEL589832 UOH589832 UYD589832 VHZ589832 VRV589832 WBR589832 WLN589832 WVJ589832 B655368 IX655368 ST655368 ACP655368 AML655368 AWH655368 BGD655368 BPZ655368 BZV655368 CJR655368 CTN655368 DDJ655368 DNF655368 DXB655368 EGX655368 EQT655368 FAP655368 FKL655368 FUH655368 GED655368 GNZ655368 GXV655368 HHR655368 HRN655368 IBJ655368 ILF655368 IVB655368 JEX655368 JOT655368 JYP655368 KIL655368 KSH655368 LCD655368 LLZ655368 LVV655368 MFR655368 MPN655368 MZJ655368 NJF655368 NTB655368 OCX655368 OMT655368 OWP655368 PGL655368 PQH655368 QAD655368 QJZ655368 QTV655368 RDR655368 RNN655368 RXJ655368 SHF655368 SRB655368 TAX655368 TKT655368 TUP655368 UEL655368 UOH655368 UYD655368 VHZ655368 VRV655368 WBR655368 WLN655368 WVJ655368 B720904 IX720904 ST720904 ACP720904 AML720904 AWH720904 BGD720904 BPZ720904 BZV720904 CJR720904 CTN720904 DDJ720904 DNF720904 DXB720904 EGX720904 EQT720904 FAP720904 FKL720904 FUH720904 GED720904 GNZ720904 GXV720904 HHR720904 HRN720904 IBJ720904 ILF720904 IVB720904 JEX720904 JOT720904 JYP720904 KIL720904 KSH720904 LCD720904 LLZ720904 LVV720904 MFR720904 MPN720904 MZJ720904 NJF720904 NTB720904 OCX720904 OMT720904 OWP720904 PGL720904 PQH720904 QAD720904 QJZ720904 QTV720904 RDR720904 RNN720904 RXJ720904 SHF720904 SRB720904 TAX720904 TKT720904 TUP720904 UEL720904 UOH720904 UYD720904 VHZ720904 VRV720904 WBR720904 WLN720904 WVJ720904 B786440 IX786440 ST786440 ACP786440 AML786440 AWH786440 BGD786440 BPZ786440 BZV786440 CJR786440 CTN786440 DDJ786440 DNF786440 DXB786440 EGX786440 EQT786440 FAP786440 FKL786440 FUH786440 GED786440 GNZ786440 GXV786440 HHR786440 HRN786440 IBJ786440 ILF786440 IVB786440 JEX786440 JOT786440 JYP786440 KIL786440 KSH786440 LCD786440 LLZ786440 LVV786440 MFR786440 MPN786440 MZJ786440 NJF786440 NTB786440 OCX786440 OMT786440 OWP786440 PGL786440 PQH786440 QAD786440 QJZ786440 QTV786440 RDR786440 RNN786440 RXJ786440 SHF786440 SRB786440 TAX786440 TKT786440 TUP786440 UEL786440 UOH786440 UYD786440 VHZ786440 VRV786440 WBR786440 WLN786440 WVJ786440 B851976 IX851976 ST851976 ACP851976 AML851976 AWH851976 BGD851976 BPZ851976 BZV851976 CJR851976 CTN851976 DDJ851976 DNF851976 DXB851976 EGX851976 EQT851976 FAP851976 FKL851976 FUH851976 GED851976 GNZ851976 GXV851976 HHR851976 HRN851976 IBJ851976 ILF851976 IVB851976 JEX851976 JOT851976 JYP851976 KIL851976 KSH851976 LCD851976 LLZ851976 LVV851976 MFR851976 MPN851976 MZJ851976 NJF851976 NTB851976 OCX851976 OMT851976 OWP851976 PGL851976 PQH851976 QAD851976 QJZ851976 QTV851976 RDR851976 RNN851976 RXJ851976 SHF851976 SRB851976 TAX851976 TKT851976 TUP851976 UEL851976 UOH851976 UYD851976 VHZ851976 VRV851976 WBR851976 WLN851976 WVJ851976 B917512 IX917512 ST917512 ACP917512 AML917512 AWH917512 BGD917512 BPZ917512 BZV917512 CJR917512 CTN917512 DDJ917512 DNF917512 DXB917512 EGX917512 EQT917512 FAP917512 FKL917512 FUH917512 GED917512 GNZ917512 GXV917512 HHR917512 HRN917512 IBJ917512 ILF917512 IVB917512 JEX917512 JOT917512 JYP917512 KIL917512 KSH917512 LCD917512 LLZ917512 LVV917512 MFR917512 MPN917512 MZJ917512 NJF917512 NTB917512 OCX917512 OMT917512 OWP917512 PGL917512 PQH917512 QAD917512 QJZ917512 QTV917512 RDR917512 RNN917512 RXJ917512 SHF917512 SRB917512 TAX917512 TKT917512 TUP917512 UEL917512 UOH917512 UYD917512 VHZ917512 VRV917512 WBR917512 WLN917512 WVJ917512 B983048 IX983048 ST983048 ACP983048 AML983048 AWH983048 BGD983048 BPZ983048 BZV983048 CJR983048 CTN983048 DDJ983048 DNF983048 DXB983048 EGX983048 EQT983048 FAP983048 FKL983048 FUH983048 GED983048 GNZ983048 GXV983048 HHR983048 HRN983048 IBJ983048 ILF983048 IVB983048 JEX983048 JOT983048 JYP983048 KIL983048 KSH983048 LCD983048 LLZ983048 LVV983048 MFR983048 MPN983048 MZJ983048 NJF983048 NTB983048 OCX983048 OMT983048 OWP983048 PGL983048 PQH983048 QAD983048 QJZ983048 QTV983048 RDR983048 RNN983048 RXJ983048 SHF983048 SRB983048 TAX983048 TKT983048 TUP983048 UEL983048 UOH983048 UYD983048 VHZ983048 VRV983048 WBR983048 WLN983048 WVJ983048" xr:uid="{92865D25-1CFE-498E-AC58-2ABF7A0374B2}">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8 IX65548 ST65548 ACP65548 AML65548 AWH65548 BGD65548 BPZ65548 BZV65548 CJR65548 CTN65548 DDJ65548 DNF65548 DXB65548 EGX65548 EQT65548 FAP65548 FKL65548 FUH65548 GED65548 GNZ65548 GXV65548 HHR65548 HRN65548 IBJ65548 ILF65548 IVB65548 JEX65548 JOT65548 JYP65548 KIL65548 KSH65548 LCD65548 LLZ65548 LVV65548 MFR65548 MPN65548 MZJ65548 NJF65548 NTB65548 OCX65548 OMT65548 OWP65548 PGL65548 PQH65548 QAD65548 QJZ65548 QTV65548 RDR65548 RNN65548 RXJ65548 SHF65548 SRB65548 TAX65548 TKT65548 TUP65548 UEL65548 UOH65548 UYD65548 VHZ65548 VRV65548 WBR65548 WLN65548 WVJ65548 B131084 IX131084 ST131084 ACP131084 AML131084 AWH131084 BGD131084 BPZ131084 BZV131084 CJR131084 CTN131084 DDJ131084 DNF131084 DXB131084 EGX131084 EQT131084 FAP131084 FKL131084 FUH131084 GED131084 GNZ131084 GXV131084 HHR131084 HRN131084 IBJ131084 ILF131084 IVB131084 JEX131084 JOT131084 JYP131084 KIL131084 KSH131084 LCD131084 LLZ131084 LVV131084 MFR131084 MPN131084 MZJ131084 NJF131084 NTB131084 OCX131084 OMT131084 OWP131084 PGL131084 PQH131084 QAD131084 QJZ131084 QTV131084 RDR131084 RNN131084 RXJ131084 SHF131084 SRB131084 TAX131084 TKT131084 TUP131084 UEL131084 UOH131084 UYD131084 VHZ131084 VRV131084 WBR131084 WLN131084 WVJ131084 B196620 IX196620 ST196620 ACP196620 AML196620 AWH196620 BGD196620 BPZ196620 BZV196620 CJR196620 CTN196620 DDJ196620 DNF196620 DXB196620 EGX196620 EQT196620 FAP196620 FKL196620 FUH196620 GED196620 GNZ196620 GXV196620 HHR196620 HRN196620 IBJ196620 ILF196620 IVB196620 JEX196620 JOT196620 JYP196620 KIL196620 KSH196620 LCD196620 LLZ196620 LVV196620 MFR196620 MPN196620 MZJ196620 NJF196620 NTB196620 OCX196620 OMT196620 OWP196620 PGL196620 PQH196620 QAD196620 QJZ196620 QTV196620 RDR196620 RNN196620 RXJ196620 SHF196620 SRB196620 TAX196620 TKT196620 TUP196620 UEL196620 UOH196620 UYD196620 VHZ196620 VRV196620 WBR196620 WLN196620 WVJ196620 B262156 IX262156 ST262156 ACP262156 AML262156 AWH262156 BGD262156 BPZ262156 BZV262156 CJR262156 CTN262156 DDJ262156 DNF262156 DXB262156 EGX262156 EQT262156 FAP262156 FKL262156 FUH262156 GED262156 GNZ262156 GXV262156 HHR262156 HRN262156 IBJ262156 ILF262156 IVB262156 JEX262156 JOT262156 JYP262156 KIL262156 KSH262156 LCD262156 LLZ262156 LVV262156 MFR262156 MPN262156 MZJ262156 NJF262156 NTB262156 OCX262156 OMT262156 OWP262156 PGL262156 PQH262156 QAD262156 QJZ262156 QTV262156 RDR262156 RNN262156 RXJ262156 SHF262156 SRB262156 TAX262156 TKT262156 TUP262156 UEL262156 UOH262156 UYD262156 VHZ262156 VRV262156 WBR262156 WLN262156 WVJ262156 B327692 IX327692 ST327692 ACP327692 AML327692 AWH327692 BGD327692 BPZ327692 BZV327692 CJR327692 CTN327692 DDJ327692 DNF327692 DXB327692 EGX327692 EQT327692 FAP327692 FKL327692 FUH327692 GED327692 GNZ327692 GXV327692 HHR327692 HRN327692 IBJ327692 ILF327692 IVB327692 JEX327692 JOT327692 JYP327692 KIL327692 KSH327692 LCD327692 LLZ327692 LVV327692 MFR327692 MPN327692 MZJ327692 NJF327692 NTB327692 OCX327692 OMT327692 OWP327692 PGL327692 PQH327692 QAD327692 QJZ327692 QTV327692 RDR327692 RNN327692 RXJ327692 SHF327692 SRB327692 TAX327692 TKT327692 TUP327692 UEL327692 UOH327692 UYD327692 VHZ327692 VRV327692 WBR327692 WLN327692 WVJ327692 B393228 IX393228 ST393228 ACP393228 AML393228 AWH393228 BGD393228 BPZ393228 BZV393228 CJR393228 CTN393228 DDJ393228 DNF393228 DXB393228 EGX393228 EQT393228 FAP393228 FKL393228 FUH393228 GED393228 GNZ393228 GXV393228 HHR393228 HRN393228 IBJ393228 ILF393228 IVB393228 JEX393228 JOT393228 JYP393228 KIL393228 KSH393228 LCD393228 LLZ393228 LVV393228 MFR393228 MPN393228 MZJ393228 NJF393228 NTB393228 OCX393228 OMT393228 OWP393228 PGL393228 PQH393228 QAD393228 QJZ393228 QTV393228 RDR393228 RNN393228 RXJ393228 SHF393228 SRB393228 TAX393228 TKT393228 TUP393228 UEL393228 UOH393228 UYD393228 VHZ393228 VRV393228 WBR393228 WLN393228 WVJ393228 B458764 IX458764 ST458764 ACP458764 AML458764 AWH458764 BGD458764 BPZ458764 BZV458764 CJR458764 CTN458764 DDJ458764 DNF458764 DXB458764 EGX458764 EQT458764 FAP458764 FKL458764 FUH458764 GED458764 GNZ458764 GXV458764 HHR458764 HRN458764 IBJ458764 ILF458764 IVB458764 JEX458764 JOT458764 JYP458764 KIL458764 KSH458764 LCD458764 LLZ458764 LVV458764 MFR458764 MPN458764 MZJ458764 NJF458764 NTB458764 OCX458764 OMT458764 OWP458764 PGL458764 PQH458764 QAD458764 QJZ458764 QTV458764 RDR458764 RNN458764 RXJ458764 SHF458764 SRB458764 TAX458764 TKT458764 TUP458764 UEL458764 UOH458764 UYD458764 VHZ458764 VRV458764 WBR458764 WLN458764 WVJ458764 B524300 IX524300 ST524300 ACP524300 AML524300 AWH524300 BGD524300 BPZ524300 BZV524300 CJR524300 CTN524300 DDJ524300 DNF524300 DXB524300 EGX524300 EQT524300 FAP524300 FKL524300 FUH524300 GED524300 GNZ524300 GXV524300 HHR524300 HRN524300 IBJ524300 ILF524300 IVB524300 JEX524300 JOT524300 JYP524300 KIL524300 KSH524300 LCD524300 LLZ524300 LVV524300 MFR524300 MPN524300 MZJ524300 NJF524300 NTB524300 OCX524300 OMT524300 OWP524300 PGL524300 PQH524300 QAD524300 QJZ524300 QTV524300 RDR524300 RNN524300 RXJ524300 SHF524300 SRB524300 TAX524300 TKT524300 TUP524300 UEL524300 UOH524300 UYD524300 VHZ524300 VRV524300 WBR524300 WLN524300 WVJ524300 B589836 IX589836 ST589836 ACP589836 AML589836 AWH589836 BGD589836 BPZ589836 BZV589836 CJR589836 CTN589836 DDJ589836 DNF589836 DXB589836 EGX589836 EQT589836 FAP589836 FKL589836 FUH589836 GED589836 GNZ589836 GXV589836 HHR589836 HRN589836 IBJ589836 ILF589836 IVB589836 JEX589836 JOT589836 JYP589836 KIL589836 KSH589836 LCD589836 LLZ589836 LVV589836 MFR589836 MPN589836 MZJ589836 NJF589836 NTB589836 OCX589836 OMT589836 OWP589836 PGL589836 PQH589836 QAD589836 QJZ589836 QTV589836 RDR589836 RNN589836 RXJ589836 SHF589836 SRB589836 TAX589836 TKT589836 TUP589836 UEL589836 UOH589836 UYD589836 VHZ589836 VRV589836 WBR589836 WLN589836 WVJ589836 B655372 IX655372 ST655372 ACP655372 AML655372 AWH655372 BGD655372 BPZ655372 BZV655372 CJR655372 CTN655372 DDJ655372 DNF655372 DXB655372 EGX655372 EQT655372 FAP655372 FKL655372 FUH655372 GED655372 GNZ655372 GXV655372 HHR655372 HRN655372 IBJ655372 ILF655372 IVB655372 JEX655372 JOT655372 JYP655372 KIL655372 KSH655372 LCD655372 LLZ655372 LVV655372 MFR655372 MPN655372 MZJ655372 NJF655372 NTB655372 OCX655372 OMT655372 OWP655372 PGL655372 PQH655372 QAD655372 QJZ655372 QTV655372 RDR655372 RNN655372 RXJ655372 SHF655372 SRB655372 TAX655372 TKT655372 TUP655372 UEL655372 UOH655372 UYD655372 VHZ655372 VRV655372 WBR655372 WLN655372 WVJ655372 B720908 IX720908 ST720908 ACP720908 AML720908 AWH720908 BGD720908 BPZ720908 BZV720908 CJR720908 CTN720908 DDJ720908 DNF720908 DXB720908 EGX720908 EQT720908 FAP720908 FKL720908 FUH720908 GED720908 GNZ720908 GXV720908 HHR720908 HRN720908 IBJ720908 ILF720908 IVB720908 JEX720908 JOT720908 JYP720908 KIL720908 KSH720908 LCD720908 LLZ720908 LVV720908 MFR720908 MPN720908 MZJ720908 NJF720908 NTB720908 OCX720908 OMT720908 OWP720908 PGL720908 PQH720908 QAD720908 QJZ720908 QTV720908 RDR720908 RNN720908 RXJ720908 SHF720908 SRB720908 TAX720908 TKT720908 TUP720908 UEL720908 UOH720908 UYD720908 VHZ720908 VRV720908 WBR720908 WLN720908 WVJ720908 B786444 IX786444 ST786444 ACP786444 AML786444 AWH786444 BGD786444 BPZ786444 BZV786444 CJR786444 CTN786444 DDJ786444 DNF786444 DXB786444 EGX786444 EQT786444 FAP786444 FKL786444 FUH786444 GED786444 GNZ786444 GXV786444 HHR786444 HRN786444 IBJ786444 ILF786444 IVB786444 JEX786444 JOT786444 JYP786444 KIL786444 KSH786444 LCD786444 LLZ786444 LVV786444 MFR786444 MPN786444 MZJ786444 NJF786444 NTB786444 OCX786444 OMT786444 OWP786444 PGL786444 PQH786444 QAD786444 QJZ786444 QTV786444 RDR786444 RNN786444 RXJ786444 SHF786444 SRB786444 TAX786444 TKT786444 TUP786444 UEL786444 UOH786444 UYD786444 VHZ786444 VRV786444 WBR786444 WLN786444 WVJ786444 B851980 IX851980 ST851980 ACP851980 AML851980 AWH851980 BGD851980 BPZ851980 BZV851980 CJR851980 CTN851980 DDJ851980 DNF851980 DXB851980 EGX851980 EQT851980 FAP851980 FKL851980 FUH851980 GED851980 GNZ851980 GXV851980 HHR851980 HRN851980 IBJ851980 ILF851980 IVB851980 JEX851980 JOT851980 JYP851980 KIL851980 KSH851980 LCD851980 LLZ851980 LVV851980 MFR851980 MPN851980 MZJ851980 NJF851980 NTB851980 OCX851980 OMT851980 OWP851980 PGL851980 PQH851980 QAD851980 QJZ851980 QTV851980 RDR851980 RNN851980 RXJ851980 SHF851980 SRB851980 TAX851980 TKT851980 TUP851980 UEL851980 UOH851980 UYD851980 VHZ851980 VRV851980 WBR851980 WLN851980 WVJ851980 B917516 IX917516 ST917516 ACP917516 AML917516 AWH917516 BGD917516 BPZ917516 BZV917516 CJR917516 CTN917516 DDJ917516 DNF917516 DXB917516 EGX917516 EQT917516 FAP917516 FKL917516 FUH917516 GED917516 GNZ917516 GXV917516 HHR917516 HRN917516 IBJ917516 ILF917516 IVB917516 JEX917516 JOT917516 JYP917516 KIL917516 KSH917516 LCD917516 LLZ917516 LVV917516 MFR917516 MPN917516 MZJ917516 NJF917516 NTB917516 OCX917516 OMT917516 OWP917516 PGL917516 PQH917516 QAD917516 QJZ917516 QTV917516 RDR917516 RNN917516 RXJ917516 SHF917516 SRB917516 TAX917516 TKT917516 TUP917516 UEL917516 UOH917516 UYD917516 VHZ917516 VRV917516 WBR917516 WLN917516 WVJ917516 B983052 IX983052 ST983052 ACP983052 AML983052 AWH983052 BGD983052 BPZ983052 BZV983052 CJR983052 CTN983052 DDJ983052 DNF983052 DXB983052 EGX983052 EQT983052 FAP983052 FKL983052 FUH983052 GED983052 GNZ983052 GXV983052 HHR983052 HRN983052 IBJ983052 ILF983052 IVB983052 JEX983052 JOT983052 JYP983052 KIL983052 KSH983052 LCD983052 LLZ983052 LVV983052 MFR983052 MPN983052 MZJ983052 NJF983052 NTB983052 OCX983052 OMT983052 OWP983052 PGL983052 PQH983052 QAD983052 QJZ983052 QTV983052 RDR983052 RNN983052 RXJ983052 SHF983052 SRB983052 TAX983052 TKT983052 TUP983052 UEL983052 UOH983052 UYD983052 VHZ983052 VRV983052 WBR983052 WLN983052 WVJ983052" xr:uid="{4A67A8AC-A4E7-4422-B70F-75F9BF9ACB3F}">
      <formula1>"Edificações, Fornecimento de Materiais e Equipamentos, Redes de Água, Esgoto ou Correlatas, Rodovias e Ferrovias, Portuárias, Marítimas e Fluviais,"</formula1>
    </dataValidation>
  </dataValidations>
  <printOptions horizontalCentered="1"/>
  <pageMargins left="0.39370078740157483" right="0.39370078740157483" top="0.78740157480314965" bottom="0.39370078740157483" header="0.39370078740157483" footer="0.51181102362204722"/>
  <pageSetup paperSize="9" scale="112" orientation="portrait"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83"/>
  <sheetViews>
    <sheetView view="pageBreakPreview" zoomScaleNormal="100" zoomScaleSheetLayoutView="100" workbookViewId="0">
      <selection activeCell="B22" sqref="B22"/>
    </sheetView>
  </sheetViews>
  <sheetFormatPr defaultRowHeight="12.75" x14ac:dyDescent="0.2"/>
  <cols>
    <col min="1" max="1" width="9.140625" style="71"/>
    <col min="2" max="2" width="81.5703125" style="89" customWidth="1"/>
    <col min="3" max="3" width="78.140625" style="89" customWidth="1"/>
    <col min="4" max="16384" width="9.140625" style="71"/>
  </cols>
  <sheetData>
    <row r="1" spans="1:3" ht="39" customHeight="1" x14ac:dyDescent="0.2">
      <c r="A1" s="69"/>
      <c r="B1" s="166" t="s">
        <v>26</v>
      </c>
      <c r="C1" s="70"/>
    </row>
    <row r="2" spans="1:3" ht="18" x14ac:dyDescent="0.2">
      <c r="A2" s="72"/>
      <c r="B2" s="164" t="s">
        <v>27</v>
      </c>
      <c r="C2" s="73"/>
    </row>
    <row r="3" spans="1:3" x14ac:dyDescent="0.2">
      <c r="A3" s="72"/>
      <c r="B3" s="74"/>
      <c r="C3" s="74"/>
    </row>
    <row r="4" spans="1:3" ht="28.5" customHeight="1" x14ac:dyDescent="0.2">
      <c r="A4" s="75" t="s">
        <v>51</v>
      </c>
      <c r="B4" s="76" t="str">
        <f>PLANILHA!B3</f>
        <v>CONSTRUÇÃO DE ESTAÇÃO DE TRATAMENTO DE ÁGUA DE CASTELINHO</v>
      </c>
      <c r="C4" s="76"/>
    </row>
    <row r="5" spans="1:3" x14ac:dyDescent="0.2">
      <c r="A5" s="75" t="s">
        <v>52</v>
      </c>
      <c r="B5" s="76" t="str">
        <f>PLANILHA!B4</f>
        <v>CASTELINHO- VARGEM ALTA - ES</v>
      </c>
      <c r="C5" s="76"/>
    </row>
    <row r="6" spans="1:3" x14ac:dyDescent="0.2">
      <c r="A6" s="75"/>
      <c r="B6" s="76"/>
      <c r="C6" s="76"/>
    </row>
    <row r="7" spans="1:3" ht="18" x14ac:dyDescent="0.2">
      <c r="A7" s="504" t="s">
        <v>74</v>
      </c>
      <c r="B7" s="504"/>
      <c r="C7" s="71"/>
    </row>
    <row r="8" spans="1:3" x14ac:dyDescent="0.2">
      <c r="A8" s="77"/>
      <c r="B8" s="76"/>
      <c r="C8" s="76"/>
    </row>
    <row r="9" spans="1:3" ht="15.75" customHeight="1" x14ac:dyDescent="0.2">
      <c r="A9" s="78">
        <v>1</v>
      </c>
      <c r="B9" s="79" t="s">
        <v>11</v>
      </c>
      <c r="C9" s="79"/>
    </row>
    <row r="10" spans="1:3" ht="20.25" customHeight="1" x14ac:dyDescent="0.2">
      <c r="A10" s="80" t="s">
        <v>9</v>
      </c>
      <c r="B10" s="81" t="s">
        <v>112</v>
      </c>
      <c r="C10" s="81"/>
    </row>
    <row r="11" spans="1:3" ht="24" x14ac:dyDescent="0.2">
      <c r="A11" s="80" t="s">
        <v>56</v>
      </c>
      <c r="B11" s="82" t="s">
        <v>113</v>
      </c>
      <c r="C11" s="82"/>
    </row>
    <row r="12" spans="1:3" x14ac:dyDescent="0.2">
      <c r="A12" s="80"/>
      <c r="B12" s="82"/>
      <c r="C12" s="82"/>
    </row>
    <row r="13" spans="1:3" x14ac:dyDescent="0.2">
      <c r="A13" s="78">
        <v>2</v>
      </c>
      <c r="B13" s="73" t="s">
        <v>94</v>
      </c>
      <c r="C13" s="73"/>
    </row>
    <row r="14" spans="1:3" ht="24" x14ac:dyDescent="0.2">
      <c r="A14" s="80" t="s">
        <v>13</v>
      </c>
      <c r="B14" s="83" t="s">
        <v>264</v>
      </c>
      <c r="C14" s="83"/>
    </row>
    <row r="15" spans="1:3" x14ac:dyDescent="0.2">
      <c r="A15" s="80"/>
      <c r="B15" s="73"/>
      <c r="C15" s="73"/>
    </row>
    <row r="16" spans="1:3" x14ac:dyDescent="0.2">
      <c r="A16" s="78">
        <v>3</v>
      </c>
      <c r="B16" s="73" t="s">
        <v>95</v>
      </c>
      <c r="C16" s="73"/>
    </row>
    <row r="17" spans="1:3" ht="24" x14ac:dyDescent="0.2">
      <c r="A17" s="80" t="s">
        <v>15</v>
      </c>
      <c r="B17" s="83" t="s">
        <v>361</v>
      </c>
      <c r="C17" s="73"/>
    </row>
    <row r="18" spans="1:3" ht="24" x14ac:dyDescent="0.2">
      <c r="A18" s="80" t="s">
        <v>16</v>
      </c>
      <c r="B18" s="82" t="s">
        <v>291</v>
      </c>
      <c r="C18" s="82"/>
    </row>
    <row r="19" spans="1:3" ht="27" customHeight="1" x14ac:dyDescent="0.2">
      <c r="A19" s="80" t="s">
        <v>17</v>
      </c>
      <c r="B19" s="82" t="s">
        <v>266</v>
      </c>
      <c r="C19" s="82"/>
    </row>
    <row r="20" spans="1:3" ht="39" customHeight="1" x14ac:dyDescent="0.2">
      <c r="A20" s="80" t="s">
        <v>96</v>
      </c>
      <c r="B20" s="82" t="s">
        <v>295</v>
      </c>
      <c r="C20" s="82"/>
    </row>
    <row r="21" spans="1:3" ht="24" x14ac:dyDescent="0.2">
      <c r="A21" s="80" t="s">
        <v>97</v>
      </c>
      <c r="B21" s="82" t="s">
        <v>269</v>
      </c>
      <c r="C21" s="82"/>
    </row>
    <row r="22" spans="1:3" ht="48" x14ac:dyDescent="0.2">
      <c r="A22" s="80" t="s">
        <v>98</v>
      </c>
      <c r="B22" s="82" t="s">
        <v>270</v>
      </c>
      <c r="C22" s="82"/>
    </row>
    <row r="23" spans="1:3" ht="24" x14ac:dyDescent="0.2">
      <c r="A23" s="80" t="s">
        <v>99</v>
      </c>
      <c r="B23" s="82" t="s">
        <v>272</v>
      </c>
      <c r="C23" s="82"/>
    </row>
    <row r="24" spans="1:3" x14ac:dyDescent="0.2">
      <c r="A24" s="80" t="s">
        <v>100</v>
      </c>
      <c r="B24" s="82" t="s">
        <v>273</v>
      </c>
      <c r="C24" s="82"/>
    </row>
    <row r="25" spans="1:3" x14ac:dyDescent="0.2">
      <c r="A25" s="80" t="s">
        <v>102</v>
      </c>
      <c r="B25" s="82" t="s">
        <v>274</v>
      </c>
      <c r="C25" s="82"/>
    </row>
    <row r="26" spans="1:3" ht="24" x14ac:dyDescent="0.2">
      <c r="A26" s="80" t="s">
        <v>106</v>
      </c>
      <c r="B26" s="82" t="s">
        <v>271</v>
      </c>
      <c r="C26" s="82"/>
    </row>
    <row r="27" spans="1:3" ht="24" x14ac:dyDescent="0.2">
      <c r="A27" s="80" t="s">
        <v>107</v>
      </c>
      <c r="B27" s="82" t="s">
        <v>275</v>
      </c>
      <c r="C27" s="82"/>
    </row>
    <row r="28" spans="1:3" x14ac:dyDescent="0.2">
      <c r="A28" s="80" t="s">
        <v>187</v>
      </c>
      <c r="B28" s="82" t="s">
        <v>276</v>
      </c>
      <c r="C28" s="82"/>
    </row>
    <row r="29" spans="1:3" ht="24" x14ac:dyDescent="0.2">
      <c r="A29" s="80" t="s">
        <v>188</v>
      </c>
      <c r="B29" s="82" t="s">
        <v>277</v>
      </c>
      <c r="C29" s="82"/>
    </row>
    <row r="30" spans="1:3" ht="24" x14ac:dyDescent="0.2">
      <c r="A30" s="80" t="s">
        <v>204</v>
      </c>
      <c r="B30" s="82" t="s">
        <v>278</v>
      </c>
      <c r="C30" s="82"/>
    </row>
    <row r="31" spans="1:3" ht="24" x14ac:dyDescent="0.2">
      <c r="A31" s="80" t="s">
        <v>205</v>
      </c>
      <c r="B31" s="82" t="s">
        <v>279</v>
      </c>
      <c r="C31" s="82"/>
    </row>
    <row r="32" spans="1:3" ht="24" x14ac:dyDescent="0.2">
      <c r="A32" s="80" t="s">
        <v>207</v>
      </c>
      <c r="B32" s="82" t="s">
        <v>283</v>
      </c>
      <c r="C32" s="82"/>
    </row>
    <row r="33" spans="1:3" ht="24" x14ac:dyDescent="0.2">
      <c r="A33" s="80" t="s">
        <v>217</v>
      </c>
      <c r="B33" s="82" t="s">
        <v>282</v>
      </c>
      <c r="C33" s="82"/>
    </row>
    <row r="34" spans="1:3" ht="24" x14ac:dyDescent="0.2">
      <c r="A34" s="80" t="s">
        <v>221</v>
      </c>
      <c r="B34" s="82" t="s">
        <v>281</v>
      </c>
      <c r="C34" s="82"/>
    </row>
    <row r="35" spans="1:3" ht="24" x14ac:dyDescent="0.2">
      <c r="A35" s="80" t="s">
        <v>222</v>
      </c>
      <c r="B35" s="82" t="s">
        <v>280</v>
      </c>
      <c r="C35" s="82"/>
    </row>
    <row r="36" spans="1:3" ht="24" x14ac:dyDescent="0.2">
      <c r="A36" s="80" t="s">
        <v>236</v>
      </c>
      <c r="B36" s="82" t="s">
        <v>284</v>
      </c>
      <c r="C36" s="82"/>
    </row>
    <row r="37" spans="1:3" ht="24" x14ac:dyDescent="0.2">
      <c r="A37" s="80" t="s">
        <v>238</v>
      </c>
      <c r="B37" s="82" t="s">
        <v>285</v>
      </c>
      <c r="C37" s="82"/>
    </row>
    <row r="38" spans="1:3" ht="24" x14ac:dyDescent="0.2">
      <c r="A38" s="80" t="s">
        <v>251</v>
      </c>
      <c r="B38" s="82" t="s">
        <v>286</v>
      </c>
      <c r="C38" s="82"/>
    </row>
    <row r="39" spans="1:3" ht="24" x14ac:dyDescent="0.2">
      <c r="A39" s="80" t="s">
        <v>258</v>
      </c>
      <c r="B39" s="82" t="s">
        <v>287</v>
      </c>
      <c r="C39" s="82"/>
    </row>
    <row r="40" spans="1:3" ht="24" x14ac:dyDescent="0.2">
      <c r="A40" s="80" t="s">
        <v>259</v>
      </c>
      <c r="B40" s="82" t="s">
        <v>288</v>
      </c>
      <c r="C40" s="82"/>
    </row>
    <row r="41" spans="1:3" x14ac:dyDescent="0.2">
      <c r="A41" s="80"/>
      <c r="B41" s="73"/>
      <c r="C41" s="73"/>
    </row>
    <row r="42" spans="1:3" x14ac:dyDescent="0.2">
      <c r="A42" s="78">
        <v>4</v>
      </c>
      <c r="B42" s="73" t="s">
        <v>194</v>
      </c>
      <c r="C42" s="73"/>
    </row>
    <row r="43" spans="1:3" ht="24" x14ac:dyDescent="0.2">
      <c r="A43" s="80" t="s">
        <v>18</v>
      </c>
      <c r="B43" s="82" t="s">
        <v>289</v>
      </c>
      <c r="C43" s="82"/>
    </row>
    <row r="44" spans="1:3" x14ac:dyDescent="0.2">
      <c r="A44" s="80"/>
      <c r="B44" s="73"/>
      <c r="C44" s="73"/>
    </row>
    <row r="45" spans="1:3" x14ac:dyDescent="0.2">
      <c r="A45" s="80"/>
      <c r="B45" s="73" t="s">
        <v>290</v>
      </c>
      <c r="C45" s="73"/>
    </row>
    <row r="46" spans="1:3" x14ac:dyDescent="0.2">
      <c r="A46" s="78">
        <v>5</v>
      </c>
      <c r="B46" s="73" t="s">
        <v>210</v>
      </c>
      <c r="C46" s="73"/>
    </row>
    <row r="47" spans="1:3" ht="24" x14ac:dyDescent="0.2">
      <c r="A47" s="80" t="s">
        <v>19</v>
      </c>
      <c r="B47" s="82" t="s">
        <v>292</v>
      </c>
      <c r="C47" s="82"/>
    </row>
    <row r="48" spans="1:3" ht="30" customHeight="1" x14ac:dyDescent="0.2">
      <c r="A48" s="80" t="s">
        <v>20</v>
      </c>
      <c r="B48" s="82" t="s">
        <v>293</v>
      </c>
      <c r="C48" s="82"/>
    </row>
    <row r="49" spans="1:3" x14ac:dyDescent="0.2">
      <c r="A49" s="78"/>
      <c r="B49" s="73"/>
      <c r="C49" s="73"/>
    </row>
    <row r="50" spans="1:3" x14ac:dyDescent="0.2">
      <c r="A50" s="78">
        <v>6</v>
      </c>
      <c r="B50" s="73" t="s">
        <v>211</v>
      </c>
      <c r="C50" s="73"/>
    </row>
    <row r="51" spans="1:3" ht="24" x14ac:dyDescent="0.2">
      <c r="A51" s="80" t="s">
        <v>21</v>
      </c>
      <c r="B51" s="82" t="s">
        <v>294</v>
      </c>
      <c r="C51" s="73"/>
    </row>
    <row r="52" spans="1:3" ht="24" x14ac:dyDescent="0.2">
      <c r="A52" s="80" t="s">
        <v>208</v>
      </c>
      <c r="B52" s="82" t="s">
        <v>271</v>
      </c>
      <c r="C52" s="73"/>
    </row>
    <row r="53" spans="1:3" ht="36" x14ac:dyDescent="0.2">
      <c r="A53" s="80" t="s">
        <v>212</v>
      </c>
      <c r="B53" s="82" t="s">
        <v>295</v>
      </c>
      <c r="C53" s="73"/>
    </row>
    <row r="54" spans="1:3" ht="36" x14ac:dyDescent="0.2">
      <c r="A54" s="80" t="s">
        <v>213</v>
      </c>
      <c r="B54" s="82" t="s">
        <v>268</v>
      </c>
      <c r="C54" s="73"/>
    </row>
    <row r="55" spans="1:3" ht="36" x14ac:dyDescent="0.2">
      <c r="A55" s="80" t="s">
        <v>214</v>
      </c>
      <c r="B55" s="82" t="s">
        <v>297</v>
      </c>
      <c r="C55" s="73"/>
    </row>
    <row r="56" spans="1:3" x14ac:dyDescent="0.2">
      <c r="A56" s="80" t="s">
        <v>219</v>
      </c>
      <c r="B56" s="82" t="s">
        <v>298</v>
      </c>
      <c r="C56" s="73"/>
    </row>
    <row r="57" spans="1:3" ht="24" x14ac:dyDescent="0.2">
      <c r="A57" s="80" t="s">
        <v>220</v>
      </c>
      <c r="B57" s="83" t="s">
        <v>300</v>
      </c>
      <c r="C57" s="73"/>
    </row>
    <row r="58" spans="1:3" ht="24" x14ac:dyDescent="0.2">
      <c r="A58" s="80" t="s">
        <v>296</v>
      </c>
      <c r="B58" s="82" t="s">
        <v>269</v>
      </c>
      <c r="C58" s="82"/>
    </row>
    <row r="59" spans="1:3" x14ac:dyDescent="0.2">
      <c r="A59" s="80"/>
      <c r="B59" s="73"/>
      <c r="C59" s="73"/>
    </row>
    <row r="60" spans="1:3" x14ac:dyDescent="0.2">
      <c r="A60" s="78">
        <v>7</v>
      </c>
      <c r="B60" s="73" t="s">
        <v>86</v>
      </c>
      <c r="C60" s="73"/>
    </row>
    <row r="61" spans="1:3" ht="36" x14ac:dyDescent="0.2">
      <c r="A61" s="80" t="s">
        <v>108</v>
      </c>
      <c r="B61" s="82" t="s">
        <v>114</v>
      </c>
      <c r="C61" s="82"/>
    </row>
    <row r="62" spans="1:3" x14ac:dyDescent="0.2">
      <c r="A62" s="80"/>
      <c r="B62" s="82"/>
      <c r="C62" s="82"/>
    </row>
    <row r="63" spans="1:3" x14ac:dyDescent="0.2">
      <c r="A63" s="80"/>
      <c r="B63" s="70" t="s">
        <v>116</v>
      </c>
      <c r="C63" s="82"/>
    </row>
    <row r="64" spans="1:3" ht="25.5" customHeight="1" x14ac:dyDescent="0.2">
      <c r="A64" s="80"/>
      <c r="B64" s="82" t="s">
        <v>115</v>
      </c>
      <c r="C64" s="82"/>
    </row>
    <row r="65" spans="1:3" ht="36" x14ac:dyDescent="0.2">
      <c r="A65" s="80"/>
      <c r="B65" s="82" t="s">
        <v>117</v>
      </c>
      <c r="C65" s="82"/>
    </row>
    <row r="66" spans="1:3" x14ac:dyDescent="0.2">
      <c r="A66" s="80"/>
      <c r="B66" s="82" t="s">
        <v>118</v>
      </c>
      <c r="C66" s="82"/>
    </row>
    <row r="67" spans="1:3" ht="27.75" customHeight="1" x14ac:dyDescent="0.2">
      <c r="A67" s="80"/>
      <c r="B67" s="82" t="s">
        <v>121</v>
      </c>
      <c r="C67" s="82"/>
    </row>
    <row r="68" spans="1:3" ht="36" x14ac:dyDescent="0.2">
      <c r="A68" s="80"/>
      <c r="B68" s="82" t="s">
        <v>119</v>
      </c>
      <c r="C68" s="82"/>
    </row>
    <row r="69" spans="1:3" ht="17.25" customHeight="1" x14ac:dyDescent="0.2">
      <c r="A69" s="80"/>
      <c r="B69" s="82" t="s">
        <v>120</v>
      </c>
      <c r="C69" s="82"/>
    </row>
    <row r="70" spans="1:3" x14ac:dyDescent="0.2">
      <c r="A70" s="80"/>
      <c r="B70" s="82"/>
      <c r="C70" s="82"/>
    </row>
    <row r="71" spans="1:3" x14ac:dyDescent="0.2">
      <c r="A71" s="80"/>
      <c r="B71" s="70" t="s">
        <v>122</v>
      </c>
      <c r="C71" s="82"/>
    </row>
    <row r="72" spans="1:3" ht="36" x14ac:dyDescent="0.2">
      <c r="A72" s="80"/>
      <c r="B72" s="82" t="s">
        <v>123</v>
      </c>
      <c r="C72" s="82"/>
    </row>
    <row r="73" spans="1:3" x14ac:dyDescent="0.2">
      <c r="A73" s="80"/>
      <c r="B73" s="82"/>
      <c r="C73" s="82"/>
    </row>
    <row r="74" spans="1:3" x14ac:dyDescent="0.2">
      <c r="A74" s="80"/>
      <c r="B74" s="73" t="s">
        <v>124</v>
      </c>
      <c r="C74" s="73"/>
    </row>
    <row r="75" spans="1:3" ht="36" x14ac:dyDescent="0.2">
      <c r="A75" s="80"/>
      <c r="B75" s="83" t="s">
        <v>125</v>
      </c>
      <c r="C75" s="73"/>
    </row>
    <row r="76" spans="1:3" x14ac:dyDescent="0.2">
      <c r="A76" s="80"/>
      <c r="B76" s="82"/>
      <c r="C76" s="82"/>
    </row>
    <row r="77" spans="1:3" x14ac:dyDescent="0.2">
      <c r="A77" s="505" t="str">
        <f>PLANILHA!A67</f>
        <v>Vargem Alta/ES, 03 de Novembro de 2021.</v>
      </c>
      <c r="B77" s="505"/>
      <c r="C77" s="71"/>
    </row>
    <row r="78" spans="1:3" x14ac:dyDescent="0.2">
      <c r="A78" s="85"/>
      <c r="B78" s="85"/>
      <c r="C78" s="71"/>
    </row>
    <row r="79" spans="1:3" x14ac:dyDescent="0.2">
      <c r="A79" s="85"/>
      <c r="B79" s="85"/>
      <c r="C79" s="71"/>
    </row>
    <row r="80" spans="1:3" x14ac:dyDescent="0.2">
      <c r="A80" s="85"/>
      <c r="B80" s="85"/>
      <c r="C80" s="71"/>
    </row>
    <row r="81" spans="1:3" x14ac:dyDescent="0.2">
      <c r="A81" s="86"/>
      <c r="B81" s="87" t="s">
        <v>85</v>
      </c>
      <c r="C81" s="84"/>
    </row>
    <row r="82" spans="1:3" x14ac:dyDescent="0.2">
      <c r="A82" s="86"/>
      <c r="B82" s="88" t="s">
        <v>50</v>
      </c>
    </row>
    <row r="83" spans="1:3" x14ac:dyDescent="0.2">
      <c r="A83" s="86"/>
      <c r="B83" s="88" t="s">
        <v>61</v>
      </c>
    </row>
  </sheetData>
  <mergeCells count="2">
    <mergeCell ref="A7:B7"/>
    <mergeCell ref="A77:B77"/>
  </mergeCells>
  <phoneticPr fontId="8" type="noConversion"/>
  <pageMargins left="0.51181102362204722" right="0.51181102362204722" top="0.78740157480314965" bottom="0.78740157480314965" header="0.31496062992125984" footer="0.31496062992125984"/>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12</vt:i4>
      </vt:variant>
    </vt:vector>
  </HeadingPairs>
  <TitlesOfParts>
    <vt:vector size="20" baseType="lpstr">
      <vt:lpstr>PLANILHA</vt:lpstr>
      <vt:lpstr>MÉDIA ORÇAMENTOS </vt:lpstr>
      <vt:lpstr>Memorial de Cálculo</vt:lpstr>
      <vt:lpstr>CRONOGRAMA</vt:lpstr>
      <vt:lpstr>CPU</vt:lpstr>
      <vt:lpstr>CPA</vt:lpstr>
      <vt:lpstr>BDI 31,96%</vt:lpstr>
      <vt:lpstr>Memorial Descritivo</vt:lpstr>
      <vt:lpstr>'BDI 31,96%'!Area_de_impressao</vt:lpstr>
      <vt:lpstr>CPA!Area_de_impressao</vt:lpstr>
      <vt:lpstr>CPU!Area_de_impressao</vt:lpstr>
      <vt:lpstr>CRONOGRAMA!Area_de_impressao</vt:lpstr>
      <vt:lpstr>'Memorial de Cálculo'!Area_de_impressao</vt:lpstr>
      <vt:lpstr>'Memorial Descritivo'!Area_de_impressao</vt:lpstr>
      <vt:lpstr>PLANILHA!Area_de_impressao</vt:lpstr>
      <vt:lpstr>CPA!Titulos_de_impressao</vt:lpstr>
      <vt:lpstr>CPU!Titulos_de_impressao</vt:lpstr>
      <vt:lpstr>'Memorial de Cálculo'!Titulos_de_impressao</vt:lpstr>
      <vt:lpstr>'Memorial Descritivo'!Titulos_de_impressao</vt:lpstr>
      <vt:lpstr>PLANILHA!Titulos_de_impressao</vt:lpstr>
    </vt:vector>
  </TitlesOfParts>
  <Company>FR - Comércio e Projetos LTDA-ME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 - Comércio e Projetos</dc:creator>
  <cp:lastModifiedBy>Usuario</cp:lastModifiedBy>
  <cp:lastPrinted>2022-01-18T19:31:13Z</cp:lastPrinted>
  <dcterms:created xsi:type="dcterms:W3CDTF">2005-11-20T22:40:20Z</dcterms:created>
  <dcterms:modified xsi:type="dcterms:W3CDTF">2022-01-18T19:31:20Z</dcterms:modified>
</cp:coreProperties>
</file>