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tabRatio="707" activeTab="0"/>
  </bookViews>
  <sheets>
    <sheet name="PLANILHA ORÇAMENTÁRIA" sheetId="1" r:id="rId1"/>
    <sheet name="CRONOGRAM" sheetId="2" r:id="rId2"/>
    <sheet name="MEMÓRIAL DE CALCULO" sheetId="3" state="hidden" r:id="rId3"/>
    <sheet name="COTAÇÃO" sheetId="4" state="hidden" r:id="rId4"/>
    <sheet name="BDI" sheetId="5" r:id="rId5"/>
    <sheet name="adm local" sheetId="6" state="hidden" r:id="rId6"/>
    <sheet name="CRONOGRAMA" sheetId="7" state="hidden" r:id="rId7"/>
    <sheet name="MEMÓRIA DE CÁLCULO" sheetId="8" state="hidden" r:id="rId8"/>
    <sheet name="Detalhamento do BDI" sheetId="9" state="hidden" r:id="rId9"/>
    <sheet name="Detalhamento do BDI Estrut. Met" sheetId="10" state="hidden" r:id="rId10"/>
    <sheet name="FUNDAÇÕES" sheetId="11" state="hidden" r:id="rId11"/>
    <sheet name="ARRANQUE" sheetId="12" state="hidden" r:id="rId12"/>
    <sheet name="PILARES 1" sheetId="13" state="hidden" r:id="rId13"/>
    <sheet name="VIGAS" sheetId="14" state="hidden" r:id="rId14"/>
    <sheet name="AÇO TOTALIZADO QUADRA" sheetId="15" state="hidden" r:id="rId15"/>
    <sheet name="LAJES1" sheetId="16" state="hidden" r:id="rId16"/>
    <sheet name="FUNDAÇÕES (2)" sheetId="17" state="hidden" r:id="rId17"/>
    <sheet name="ARRANQUE (2)" sheetId="18" state="hidden" r:id="rId18"/>
    <sheet name="PILARES 1 (2)" sheetId="19" state="hidden" r:id="rId19"/>
    <sheet name="VIGAS 1" sheetId="20" state="hidden" r:id="rId20"/>
    <sheet name="VIGAS 2 (2)" sheetId="21" state="hidden" r:id="rId21"/>
    <sheet name="VIGAS 3" sheetId="22" state="hidden" r:id="rId22"/>
    <sheet name="AÇO TOTALIZADO PRÉDIO DE APOIO" sheetId="23" state="hidden" r:id="rId23"/>
  </sheets>
  <externalReferences>
    <externalReference r:id="rId26"/>
    <externalReference r:id="rId27"/>
  </externalReferences>
  <definedNames>
    <definedName name="_xlfn.SUMIFS" hidden="1">#NAME?</definedName>
    <definedName name="_xlnm.Print_Area" localSheetId="11">'ARRANQUE'!$A$1:$O$18</definedName>
    <definedName name="_xlnm.Print_Area" localSheetId="17">'ARRANQUE (2)'!$A$1:$O$19</definedName>
    <definedName name="_xlnm.Print_Area" localSheetId="6">'CRONOGRAMA'!$A$1:$AB$60</definedName>
    <definedName name="_xlnm.Print_Area" localSheetId="8">'Detalhamento do BDI'!$A$1:$D$43</definedName>
    <definedName name="_xlnm.Print_Area" localSheetId="9">'Detalhamento do BDI Estrut. Met'!$A$1:$D$43</definedName>
    <definedName name="_xlnm.Print_Area" localSheetId="10">'FUNDAÇÕES'!$A$1:$P$7</definedName>
    <definedName name="_xlnm.Print_Area" localSheetId="16">'FUNDAÇÕES (2)'!$A$1:$P$7</definedName>
    <definedName name="_xlnm.Print_Area" localSheetId="15">'LAJES1'!$A$1:$O$9</definedName>
    <definedName name="_xlnm.Print_Area" localSheetId="7">'MEMÓRIA DE CÁLCULO'!$A$1:$M$225</definedName>
    <definedName name="_xlnm.Print_Area" localSheetId="12">'PILARES 1'!$A$1:$O$13</definedName>
    <definedName name="_xlnm.Print_Area" localSheetId="18">'PILARES 1 (2)'!$A$1:$O$19</definedName>
    <definedName name="_xlnm.Print_Area" localSheetId="0">'PLANILHA ORÇAMENTÁRIA'!$A$1:$H$194</definedName>
    <definedName name="_xlnm.Print_Area" localSheetId="13">'VIGAS'!$A$1:$R$16</definedName>
    <definedName name="_xlnm.Print_Area" localSheetId="19">'VIGAS 1'!$A$1:$R$9</definedName>
    <definedName name="_xlnm.Print_Area" localSheetId="20">'VIGAS 2 (2)'!$A$1:$R$20</definedName>
    <definedName name="_xlnm.Print_Area" localSheetId="21">'VIGAS 3'!$A$1:$R$18</definedName>
    <definedName name="_xlnm.Print_Titles" localSheetId="11">'ARRANQUE'!$1:$5</definedName>
    <definedName name="_xlnm.Print_Titles" localSheetId="17">'ARRANQUE (2)'!$1:$5</definedName>
    <definedName name="_xlnm.Print_Titles" localSheetId="6">'CRONOGRAMA'!$1:$7</definedName>
    <definedName name="_xlnm.Print_Titles" localSheetId="10">'FUNDAÇÕES'!$1:$5</definedName>
    <definedName name="_xlnm.Print_Titles" localSheetId="16">'FUNDAÇÕES (2)'!$1:$5</definedName>
    <definedName name="_xlnm.Print_Titles" localSheetId="15">'LAJES1'!$1:$5</definedName>
    <definedName name="_xlnm.Print_Titles" localSheetId="7">'MEMÓRIA DE CÁLCULO'!$1:$7</definedName>
    <definedName name="_xlnm.Print_Titles" localSheetId="12">'PILARES 1'!$1:$5</definedName>
    <definedName name="_xlnm.Print_Titles" localSheetId="18">'PILARES 1 (2)'!$1:$5</definedName>
    <definedName name="_xlnm.Print_Titles" localSheetId="0">'PLANILHA ORÇAMENTÁRIA'!$1:$12</definedName>
    <definedName name="_xlnm.Print_Titles" localSheetId="13">'VIGAS'!$1:$5</definedName>
    <definedName name="_xlnm.Print_Titles" localSheetId="19">'VIGAS 1'!$1:$5</definedName>
    <definedName name="_xlnm.Print_Titles" localSheetId="20">'VIGAS 2 (2)'!$1:$5</definedName>
    <definedName name="_xlnm.Print_Titles" localSheetId="21">'VIGAS 3'!$1:$5</definedName>
  </definedNames>
  <calcPr fullCalcOnLoad="1"/>
</workbook>
</file>

<file path=xl/comments10.xml><?xml version="1.0" encoding="utf-8"?>
<comments xmlns="http://schemas.openxmlformats.org/spreadsheetml/2006/main">
  <authors>
    <author>Cremilson In?cio de Souza</author>
    <author>c094707</author>
    <author>caixa</author>
  </authors>
  <commentList>
    <comment ref="B10" authorId="0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sz val="9"/>
            <rFont val="Tahoma"/>
            <family val="2"/>
          </rPr>
          <t xml:space="preserve">3.3.10.7.6.1 “Construção de Edifícios” enquadram-se:
 a construção e reforma de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 pórticos, mirantes e outros edifícios de finalidade turística.
3.3.10.7.6.2 “Construção de Rodovias e Ferrovias” enquadram-se:
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pavimentação e sinalização de vias urbanas, ruas e locais para estacionamento de veículos, a construção de praças, pista de atletismo, campos de futebol e calçadas para pedestres, elevados, passarelas e ciclovias, metrô e VLT.
3.3.10.7.6.3 “Construção de Redes de Abastecimento de Água, Coleta de Esgoto e Construções Correlatas” enquadram-se:
 a construção de sistemas para o abastecimento de água tratada - reservatórios de distribuição, estações elevatórias de bombeamento, linhas principais de adução de longa e média distância e redes de distribuição de água, a construção de redes de coleta de esgoto, inclusive de interceptores, estações de tratamento de esgoto (ETE), estações de bombeamento de esgoto (EBE), a construção de galerias pluviais (obras de micro e macrodrenagem);
 as obras de irrigação (canais), a manutenção de redes de abastecimento de água tratada, a manutenção de redes de coleta e de sistemas de tratamento de esgoto, conforme classificação 4222-7 do CNAE 2.0;
 a construção de estações de tratamento de água (ETA).
3.3.10.7.6.4 “Construção e Manutenção de Estações e Redes de Distribuição de Energia Elétrica” enquadram-se:
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
 obras de iluminação pública e a construção de barragens e represas para geração de energia elétrica.
3.3.10.7.6.5 Para o tipo de obra “Portuárias, Marítimas e Fluviais” enquadram-se:
 obras marítimas e fluviais, tais como, construção de instalações portuárias, construção de portos e marinas, construção de eclusas e canais de navegação (vias navegáveis), enrrocamentos, obras de dragagem, aterro hidráulico, barragens, represas e diques, exceto para energia elétrica, a construção de emissários submarinos, a instalação de cabos submarinos, conforme classificação 4291-0 do CNAE 2.0;
 a construção de píeres e outras obras com influência direta de cursos d’água.
</t>
        </r>
      </text>
    </comment>
    <comment ref="C18" authorId="1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19" authorId="1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C21" authorId="1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7" authorId="1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29" authorId="1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30" authorId="1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  <comment ref="C23" authorId="1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B3" authorId="2">
      <text>
        <r>
          <rPr>
            <sz val="9"/>
            <rFont val="Segoe UI"/>
            <family val="2"/>
          </rPr>
          <t>Nome do Orgão  ou Empresa Executante</t>
        </r>
      </text>
    </comment>
  </commentList>
</comments>
</file>

<file path=xl/comments5.xml><?xml version="1.0" encoding="utf-8"?>
<comments xmlns="http://schemas.openxmlformats.org/spreadsheetml/2006/main">
  <authors>
    <author>caixa</author>
    <author>Cremilson In?cio de Souza</author>
    <author>c094707</author>
  </authors>
  <commentList>
    <comment ref="B3" authorId="0">
      <text>
        <r>
          <rPr>
            <sz val="9"/>
            <rFont val="Segoe UI"/>
            <family val="2"/>
          </rPr>
          <t>Nome do Orgão  ou Empresa Executante</t>
        </r>
      </text>
    </comment>
    <comment ref="B9" authorId="1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13" authorId="1">
      <text>
        <r>
          <rPr>
            <sz val="9"/>
            <rFont val="Tahoma"/>
            <family val="2"/>
          </rPr>
          <t xml:space="preserve">3.3.10.7.6.1 “Construção de Edifícios” enquadram-se:
 a construção e reforma de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 pórticos, mirantes e outros edifícios de finalidade turística.
3.3.10.7.6.2 “Construção de Rodovias e Ferrovias” enquadram-se:
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pavimentação e sinalização de vias urbanas, ruas e locais para estacionamento de veículos, a construção de praças, pista de atletismo, campos de futebol e calçadas para pedestres, elevados, passarelas e ciclovias, metrô e VLT.
3.3.10.7.6.3 “Construção de Redes de Abastecimento de Água, Coleta de Esgoto e Construções Correlatas” enquadram-se:
 a construção de sistemas para o abastecimento de água tratada - reservatórios de distribuição, estações elevatórias de bombeamento, linhas principais de adução de longa e média distância e redes de distribuição de água, a construção de redes de coleta de esgoto, inclusive de interceptores, estações de tratamento de esgoto (ETE), estações de bombeamento de esgoto (EBE), a construção de galerias pluviais (obras de micro e macrodrenagem);
 as obras de irrigação (canais), a manutenção de redes de abastecimento de água tratada, a manutenção de redes de coleta e de sistemas de tratamento de esgoto, conforme classificação 4222-7 do CNAE 2.0;
 a construção de estações de tratamento de água (ETA).
3.3.10.7.6.4 “Construção e Manutenção de Estações e Redes de Distribuição de Energia Elétrica” enquadram-se:
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
 obras de iluminação pública e a construção de barragens e represas para geração de energia elétrica.
3.3.10.7.6.5 Para o tipo de obra “Portuárias, Marítimas e Fluviais” enquadram-se:
 obras marítimas e fluviais, tais como, construção de instalações portuárias, construção de portos e marinas, construção de eclusas e canais de navegação (vias navegáveis), enrrocamentos, obras de dragagem, aterro hidráulico, barragens, represas e diques, exceto para energia elétrica, a construção de emissários submarinos, a instalação de cabos submarinos, conforme classificação 4291-0 do CNAE 2.0;
 a construção de píeres e outras obras com influência direta de cursos d’água.
</t>
        </r>
      </text>
    </comment>
    <comment ref="C17" authorId="2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18" authorId="2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C20" authorId="2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2" authorId="2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C26" authorId="2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28" authorId="2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29" authorId="2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comments9.xml><?xml version="1.0" encoding="utf-8"?>
<comments xmlns="http://schemas.openxmlformats.org/spreadsheetml/2006/main">
  <authors>
    <author>Cremilson In?cio de Souza</author>
    <author>c094707</author>
    <author>caixa</author>
  </authors>
  <commentList>
    <comment ref="B10" authorId="0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sz val="9"/>
            <rFont val="Tahoma"/>
            <family val="2"/>
          </rPr>
          <t xml:space="preserve">3.3.10.7.6.1 “Construção de Edifícios” enquadram-se:
 a construção e reforma de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 pórticos, mirantes e outros edifícios de finalidade turística.
3.3.10.7.6.2 “Construção de Rodovias e Ferrovias” enquadram-se:
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pavimentação e sinalização de vias urbanas, ruas e locais para estacionamento de veículos, a construção de praças, pista de atletismo, campos de futebol e calçadas para pedestres, elevados, passarelas e ciclovias, metrô e VLT.
3.3.10.7.6.3 “Construção de Redes de Abastecimento de Água, Coleta de Esgoto e Construções Correlatas” enquadram-se:
 a construção de sistemas para o abastecimento de água tratada - reservatórios de distribuição, estações elevatórias de bombeamento, linhas principais de adução de longa e média distância e redes de distribuição de água, a construção de redes de coleta de esgoto, inclusive de interceptores, estações de tratamento de esgoto (ETE), estações de bombeamento de esgoto (EBE), a construção de galerias pluviais (obras de micro e macrodrenagem);
 as obras de irrigação (canais), a manutenção de redes de abastecimento de água tratada, a manutenção de redes de coleta e de sistemas de tratamento de esgoto, conforme classificação 4222-7 do CNAE 2.0;
 a construção de estações de tratamento de água (ETA).
3.3.10.7.6.4 “Construção e Manutenção de Estações e Redes de Distribuição de Energia Elétrica” enquadram-se:
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
 obras de iluminação pública e a construção de barragens e represas para geração de energia elétrica.
3.3.10.7.6.5 Para o tipo de obra “Portuárias, Marítimas e Fluviais” enquadram-se:
 obras marítimas e fluviais, tais como, construção de instalações portuárias, construção de portos e marinas, construção de eclusas e canais de navegação (vias navegáveis), enrrocamentos, obras de dragagem, aterro hidráulico, barragens, represas e diques, exceto para energia elétrica, a construção de emissários submarinos, a instalação de cabos submarinos, conforme classificação 4291-0 do CNAE 2.0;
 a construção de píeres e outras obras com influência direta de cursos d’água.
</t>
        </r>
      </text>
    </comment>
    <comment ref="C18" authorId="1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19" authorId="1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C21" authorId="1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7" authorId="1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29" authorId="1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30" authorId="1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  <comment ref="C23" authorId="1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B3" authorId="2">
      <text>
        <r>
          <rPr>
            <sz val="9"/>
            <rFont val="Segoe UI"/>
            <family val="2"/>
          </rPr>
          <t>Nome do Orgão  ou Empresa Executante</t>
        </r>
      </text>
    </comment>
  </commentList>
</comments>
</file>

<file path=xl/sharedStrings.xml><?xml version="1.0" encoding="utf-8"?>
<sst xmlns="http://schemas.openxmlformats.org/spreadsheetml/2006/main" count="2395" uniqueCount="1127">
  <si>
    <t>Massa única, para recebimento de pintura, em argamassa traço 1:2:8, preparo manual, aplicada manualmente em faces internas de paredes de ambientes com área maior que 10m2, espessura de 20mm, com execução de taliscas. Af_06/2014</t>
  </si>
  <si>
    <t>Canaleta no piso em concreto simples com dimensões internas de 20 x 10 cm e grelha em ferro diam. 1/2" a cada 3 cm fixados em cantoneira de 3/4" x 1/8" apoiada sobre requadro em cantoneira de 1" x 3/16"</t>
  </si>
  <si>
    <t>ADITAMENTO FINANCEIRO REAL:</t>
  </si>
  <si>
    <t>ADITAMENTO FINANCEIRO REAL</t>
  </si>
  <si>
    <t>Aplicação de fundo selador acrílico em paredes e tetos, uma demão.</t>
  </si>
  <si>
    <t>Aplicação manual de pintura com tinta látex acrílica em paredes e tetos, duas  demãos.</t>
  </si>
  <si>
    <t>Área obtida mediante a subtração das áreas revestidas com cerâmica esmaltada (item 3.5.3)</t>
  </si>
  <si>
    <t>Medição de praxe = Área de uma das faces da porta (x3)</t>
  </si>
  <si>
    <t>Engenheiro Civil - CREA-MG 57858/D</t>
  </si>
  <si>
    <t>ANDERSON LUIZ EMERY SANTOS</t>
  </si>
  <si>
    <t>Colunas Esquerdas (faces)</t>
  </si>
  <si>
    <t>Colunas Direitas (faces longitudinais)</t>
  </si>
  <si>
    <t>Colunas Direitas (faces transversais)</t>
  </si>
  <si>
    <t>Muretas - Faces internas e externas</t>
  </si>
  <si>
    <t>Muretas - Face superior</t>
  </si>
  <si>
    <t>Recobrimento da área chapiscada aferida</t>
  </si>
  <si>
    <t>Parede frontal - Face interna e externa (altura informada obtida pela média face a variação de nível da calçada externa existente - logradouro em aclive)</t>
  </si>
  <si>
    <t>Alambrado esquerdo</t>
  </si>
  <si>
    <t>Alambrado direito</t>
  </si>
  <si>
    <t>IMPERMEABILIZAÇÃO</t>
  </si>
  <si>
    <t>Placa de obra em chapa de aco galvanizado - 2,00 x 1,25 m</t>
  </si>
  <si>
    <t>Reaterro de vala/cava compactada a maco em camadas de 20cm</t>
  </si>
  <si>
    <t>Subtotal</t>
  </si>
  <si>
    <t>Cobertura com telha chapa aço zincado, ondulada, esp=0,5mm</t>
  </si>
  <si>
    <t>Calha em chapa de aco galvanizado n.24, desenvolvimento 50cm</t>
  </si>
  <si>
    <t>Alvenaria de vedação de blocos vazados de concreto de 14x19x39cm (espessura 14cm) de paredes com área líquida menor que 6m² sem vãos e argamassa de assentamento com preparo em betoneira.</t>
  </si>
  <si>
    <t>Chapisco aplicado tanto em pilares e vigas de concreto como em alvenar ias de paredes internas, com rolo para textura acrílica. Argamassa tra ço 1:4 e emulsão polimérica (adesivo) com preparo em misturador 300 kg</t>
  </si>
  <si>
    <t>Contrapiso em argamassa traço 1:4 (cimento e areia), preparo mecânico  com betoneira 400 l, aplicado em áreas secas menores que 10m2 sobre laje, aderido, espessura 2cm, acabamento reforçado.</t>
  </si>
  <si>
    <t>Piso em concreto desempenado para quadras poliesportivas preparo mecanico, espessura 7cm, incluso juntas de dilatacao e lastro impermeabilizado</t>
  </si>
  <si>
    <t>Portao em tela arame galvanizado n.12 malha 2" e moldura em tubos de aco com duas folhas de abrir, incluso ferragens</t>
  </si>
  <si>
    <t>Guarda-corpo em tubo de aco galvanizado 1 1/2"</t>
  </si>
  <si>
    <t>Caixa de passagem em alvenaria com tampa concreto 40x40x40 cm para passagem de cabos subterrâneos</t>
  </si>
  <si>
    <t>Refletor retangular fechado com lampada vapor metalico 400 w - 220 v</t>
  </si>
  <si>
    <t>Reator para lâmpada vapor de mercúrio uso externo 220v/400w</t>
  </si>
  <si>
    <t>Aplicação de fundo selador acrílico em paredes, uma demão.</t>
  </si>
  <si>
    <t>Massa única, para recebimento de pintura, em argamassa traço 1:2:8,  preparo manual, aplicada manualmente em faces internas de paredes de ambientes com área maior que 10m2, espessura de 20mm, com execução de taliscas. AF_06/2014</t>
  </si>
  <si>
    <t>Chapisco aplicado tanto em pilares e vigas de concreto como em alvenarias de paredes internas, com rolo para textura acrílica. Argamassa tra ço 1:4 e emulsão polimérica (adesivo) com preparo em misturador 300 kg</t>
  </si>
  <si>
    <t>Escavacao manual campo aberto em solo exceto rocha ate 2,00m profundidade</t>
  </si>
  <si>
    <t>Tapume de chapa de madeira compensada, e=6mm, com pintura a cal e reaproveitamento de 2x</t>
  </si>
  <si>
    <t>3.11.4</t>
  </si>
  <si>
    <t>3.11.5</t>
  </si>
  <si>
    <t>3.11.6</t>
  </si>
  <si>
    <t>Ponto de esgoto pvc 100mm - media 1,10m de tubo pvc esgoto predial dn100mm e 1 joelho pvc 90graus esgoto predial DN 100mm - fornecimento e instalação</t>
  </si>
  <si>
    <t>Disjuntor termomagnetico tripolar padrao nema (americano) 60 a 100A 240V, fornecimento e instalação</t>
  </si>
  <si>
    <t>Disjuntor termomagnetico monopolar padrao nema (americano) 10 a 30A 240V, fornecimento e instalação</t>
  </si>
  <si>
    <t>Disjuntor termomagnetico bipolar padrao nema (americano) 10 a 50A 240v, fornecimento e instalação</t>
  </si>
  <si>
    <t>cj</t>
  </si>
  <si>
    <t>Alambrado para quadra poliesportiva h = 2 m, estruturada em tubo de aço galv. c/ costura DIN 2440, diâmetro 2", e tela em arame galvanizado 14 BWG, malha quadrada com abertura de 2".</t>
  </si>
  <si>
    <t>Barra de apoio de ferro galvanizado, diâm. 3 cm, comprimento de 80 cm, para sanitário deficientes, inclusive pintura</t>
  </si>
  <si>
    <t>2.9.3</t>
  </si>
  <si>
    <t>2.9.4</t>
  </si>
  <si>
    <t>Rede de proteção em nylon malha 5x5 cm para proteção de quadra de esportes</t>
  </si>
  <si>
    <t>Caixa d´água em polietileno, 1000 litros, com acessórios</t>
  </si>
  <si>
    <t>Tubo de pvc rígido soldável marrom, diâm. 50mm (11/2"), inclusive conexões</t>
  </si>
  <si>
    <t>Registro de pressão com canopla ø 15mm (1/2") - fornecimento e instalação</t>
  </si>
  <si>
    <t>Vaso sanitario com caixa de descarga acoplada - louca branca</t>
  </si>
  <si>
    <t>Cuba de embutir oval em louça branca, 35 x 50cm ou equivalente - fornecimento e instalação</t>
  </si>
  <si>
    <t>Espelho cristal espessura 4mm, com moldura em aluminio e compensado 6mm plastificado colado - 2x (1,00 x0,60) m</t>
  </si>
  <si>
    <t xml:space="preserve">Bacia sifonada de louça branca para portadores de necessidades especiais, vogue plus conforto - linha conforto, mod p51, incl. Assento com abertura frontal, ref.ap52,marca de ref. Deca ou equivalente </t>
  </si>
  <si>
    <t>Locacao convencional de obra, através de gabarito de tabuas corridas pontaletadas, com reaproveitamento de 3 vezes.</t>
  </si>
  <si>
    <t>Trave para futebol de salão de tubo de ferro galvanizado 3", com recuo, removível, dimensões oficiais 3x2m</t>
  </si>
  <si>
    <t>Rede para futebol de salão</t>
  </si>
  <si>
    <t>Tabela de basquete de madeira, com aro, inclusive colocação</t>
  </si>
  <si>
    <t>ADMINISTRAÇÃO LOCAL</t>
  </si>
  <si>
    <t>CONSTRUÇÃO DA QUADRA</t>
  </si>
  <si>
    <t>4.1</t>
  </si>
  <si>
    <t>7º MÊS</t>
  </si>
  <si>
    <t>8º MÊS</t>
  </si>
  <si>
    <t>9º MÊS</t>
  </si>
  <si>
    <t>10º MÊS</t>
  </si>
  <si>
    <t>11º MÊS</t>
  </si>
  <si>
    <t>12º MÊS</t>
  </si>
  <si>
    <t>ITEM</t>
  </si>
  <si>
    <t>DESCRIÇÃO</t>
  </si>
  <si>
    <t>SERVIÇOS PRELIMINARES</t>
  </si>
  <si>
    <t>1.1</t>
  </si>
  <si>
    <t>3.1</t>
  </si>
  <si>
    <t>QUANT.</t>
  </si>
  <si>
    <t>1º MÊS</t>
  </si>
  <si>
    <t>2º MÊS</t>
  </si>
  <si>
    <t>3º MÊS</t>
  </si>
  <si>
    <t>4º MÊS</t>
  </si>
  <si>
    <t>% ACUMULADO</t>
  </si>
  <si>
    <t>PLANILHA ORÇAMENTÁRIA</t>
  </si>
  <si>
    <t>ALVENARIA</t>
  </si>
  <si>
    <t>REVESTIMENTOS</t>
  </si>
  <si>
    <t>PISOS</t>
  </si>
  <si>
    <t>INSTALAÇÕES ELÉTRICAS</t>
  </si>
  <si>
    <t>COBERTURA</t>
  </si>
  <si>
    <t>PINTURA</t>
  </si>
  <si>
    <t>5º MÊS</t>
  </si>
  <si>
    <t>3.2</t>
  </si>
  <si>
    <t>P. UNIT.</t>
  </si>
  <si>
    <t>P. TOTAL</t>
  </si>
  <si>
    <t>6º MÊS</t>
  </si>
  <si>
    <t>CONCRETO ARMADO (INFRA-ESTRUTURA)</t>
  </si>
  <si>
    <t>2.3</t>
  </si>
  <si>
    <t>UND</t>
  </si>
  <si>
    <t xml:space="preserve">Rede para voleibol com malha grossa, faixas de lona superior e inferior  </t>
  </si>
  <si>
    <t>EQUIPAMENTOS E ACESSÓRIOS</t>
  </si>
  <si>
    <t>kg</t>
  </si>
  <si>
    <t>MOVIMENTO DE TERRA</t>
  </si>
  <si>
    <t>CONCRETO ARMADO (SUPER-ESTRUTURA)</t>
  </si>
  <si>
    <t>3.3</t>
  </si>
  <si>
    <t>3.4</t>
  </si>
  <si>
    <t>REVESTIMENTOS DE PAREDES E TETO</t>
  </si>
  <si>
    <t>2.4</t>
  </si>
  <si>
    <t>3.5</t>
  </si>
  <si>
    <t>ESQUADRIAS DE MADEIRA</t>
  </si>
  <si>
    <t>ESQUADRIAS METÁLICAS</t>
  </si>
  <si>
    <t>PAREDES E PAINÉIS</t>
  </si>
  <si>
    <t>INSTALAÇÕES HIDRO-SANITÁRIAS</t>
  </si>
  <si>
    <t>3.7.2</t>
  </si>
  <si>
    <t>Porta de aço de enrolar</t>
  </si>
  <si>
    <t>CONSTRUÇÃO: VESTIÁRIOS, SANITÁRIOS E SALAS DE APOIO</t>
  </si>
  <si>
    <t>Cabo de cobre isolado pvc resistente a chama 450/750 v 4,0 mm2 fornecimento e instalação</t>
  </si>
  <si>
    <t>Luminaria tipo calha, de sobrepor, com reator de partida rapida e lampada fluorescente 2x40w, completa, fornecimento e instalação</t>
  </si>
  <si>
    <t>Luminaria tipo calha, de sobrepor, com reator de partida rapida e lampada fluorescente 1x40w, completa, fornecimento e instalação</t>
  </si>
  <si>
    <t>Caixa sifonada pvc 150x150x50mm com grelha redonda branca - fornecimento e instalação</t>
  </si>
  <si>
    <t>Ralo sifonado de pvc 100x100mm simples - fornecimento e instalação</t>
  </si>
  <si>
    <t>Bancada (tampo) marmore branco nacional e = 3cm, largura 55cm, polido com furo para cuba - fornecimento e instalação</t>
  </si>
  <si>
    <t>Papeleira de louca branca - fornecimento e instalação</t>
  </si>
  <si>
    <t>Saboneteira de sobrepor (fixada na parede), tipo concha, em aco inoxidivel - fornecimento e instalação</t>
  </si>
  <si>
    <t>Cabide de louca branca simples tipo gancho - fornecimento e instalação</t>
  </si>
  <si>
    <t>Torneira cromada 1/2" ou 3/4" para lavatorio, padrão popular, com engate flexivel plastico 1/2"x30cm - fornec e instalação</t>
  </si>
  <si>
    <t>Padrão de entrada de energia elétrica, trifásico, entrada aérea, a 4 fios, carga instalada de 15001 até 26000W, instalada em muro</t>
  </si>
  <si>
    <t>Quadro de distribuicão de energia p/ 18 disjuntores termomagnéticos monopolares sem barramento, de embutir, em chapa metálica, fornecimento e instalação.</t>
  </si>
  <si>
    <t>m</t>
  </si>
  <si>
    <t>m²</t>
  </si>
  <si>
    <t>Lavatório de louça branca com coluna suspensa, linha vogue plus confort para portadores de necessidades especiais, marca de referencia deca, celite ou ideal standart, inclusive válvula, sifão e engates, exclusive torneira</t>
  </si>
  <si>
    <t>Válvula descarga 1.1/2" com registro, acabamento em metal cromado - fornecimento e instalação</t>
  </si>
  <si>
    <t>pt</t>
  </si>
  <si>
    <t>Tubo pvc esgoto predial dn 100mm, inclusive conexões fornecimento e instalação</t>
  </si>
  <si>
    <t>Eletroduto de pvc rigido roscavel dn 25mm (1") incl conexões, fornecimento e instalação</t>
  </si>
  <si>
    <t>Tubo PVC, serie normal, esgoto predial, DN 40 mm, fornecido e Instalado em ramal de descarga ou ramal de esgoto sanitário. AF_12/2014_p</t>
  </si>
  <si>
    <t>Tubo PVC, serie normal, esgoto predial, DN 50 mm, fornecido e Instalado em ramal de descarga ou ramal de esgoto sanitário. AF_12/2014_p</t>
  </si>
  <si>
    <t>Cuba de embutir de aço inoxidável média, incluso válvula tipo Americana em metal cromado e sifão flexível em PVC - fornecimento e instalação. AF_12/2013</t>
  </si>
  <si>
    <t>Torneira cromada tubo móvel, de mesa, 1/2" ou 3/4", para pia de Cozinha, padrão alto - fornecimento e instalação. AF_12/2013</t>
  </si>
  <si>
    <t>un</t>
  </si>
  <si>
    <t>Ponto padrão de luz no teto - considerando eletroduto pvc rígido de 3/4" inclusive conexões (4.5m), fio isolado pvc de 2.5mm2 (16.2m) e caixa estampada 4x4" (1 un)</t>
  </si>
  <si>
    <t>Ponto padrão de tomada 2 pólos mais terra - considerando eletroduto pvc rígido de 3/4" inclusive conexões (5.0m), fio isolado pvc de 2.5mm2 (16.5m) e caixa estampada 4x2" (1 un)</t>
  </si>
  <si>
    <t>Pintura esmalte fosco para madeira, duas demaos, incluso aparelhamento com funo nivelador branco fosco</t>
  </si>
  <si>
    <t>m³</t>
  </si>
  <si>
    <t>Escavacao manual campo aberto em solo exceto rocha ate 2,00m prof.</t>
  </si>
  <si>
    <t>Pintura com tinta acrilica para pisos em quadras poliesportivas</t>
  </si>
  <si>
    <t>Demarcacao com tinta acrilica para pisos de faixas em quadra poliesportiva</t>
  </si>
  <si>
    <t>Aplicação manual de pintura com tinta látex acrílica em paredes, duas  demãos.</t>
  </si>
  <si>
    <t>Suporte para tabela de basquete de concreto armado fck = 15mpa, inclusive forma, armação, lançamento e desforma</t>
  </si>
  <si>
    <t>Pintura esmalte 2 demaos c/1 demao zarcao p/esquadria ferro</t>
  </si>
  <si>
    <t>Alvenaria de vedação de blocos vazados de concreto de 9x19x39cm (espes sura 9cm) de paredes com área líquida menor que 6m² sem vãos e argamas sa de assentamento com preparo em betoneira</t>
  </si>
  <si>
    <t>Divisoria em granito branco  polido, espessura 3 cm, assentado com argamassa traco 1:4 (cimento e areia), arremate com cimento branco, exclusive ferragens</t>
  </si>
  <si>
    <t>Ceramica esmaltada em paredes 1a, pei-4, 20x20cm, padrao medio, fixada  com argamassa colante e rejuntamento com cimento branco</t>
  </si>
  <si>
    <t>Regularizacao de piso/base em argamassa traco 1:5 (cimento e areia), espessura 5,0cm, preparo manual</t>
  </si>
  <si>
    <t>COMPLEMENTARES EXTERNOS</t>
  </si>
  <si>
    <t>2.3.1</t>
  </si>
  <si>
    <t>2.3.2</t>
  </si>
  <si>
    <t>2.4.1</t>
  </si>
  <si>
    <t>2.5</t>
  </si>
  <si>
    <t>2.5.1</t>
  </si>
  <si>
    <t>2.6</t>
  </si>
  <si>
    <t>2.6.1</t>
  </si>
  <si>
    <t>2.7</t>
  </si>
  <si>
    <t>2.7.1</t>
  </si>
  <si>
    <t>2.7.2</t>
  </si>
  <si>
    <t>2.8</t>
  </si>
  <si>
    <t>2.8.1</t>
  </si>
  <si>
    <t>2.8.2</t>
  </si>
  <si>
    <t>2.9</t>
  </si>
  <si>
    <t>2.9.1</t>
  </si>
  <si>
    <t>2.9.2</t>
  </si>
  <si>
    <t>2.10</t>
  </si>
  <si>
    <t>2.10.1</t>
  </si>
  <si>
    <t>2.10.2</t>
  </si>
  <si>
    <t>2.10.3</t>
  </si>
  <si>
    <t>2.10.4</t>
  </si>
  <si>
    <t>3.1.1</t>
  </si>
  <si>
    <t>3.1.2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</si>
  <si>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</si>
  <si>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</si>
  <si>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</si>
  <si>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</si>
  <si>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</si>
  <si>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</si>
  <si>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</si>
  <si>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</si>
  <si>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3.4.1</t>
  </si>
  <si>
    <t>3.4.2</t>
  </si>
  <si>
    <t>3.5.1</t>
  </si>
  <si>
    <t>3.5.2</t>
  </si>
  <si>
    <t>3.5.3</t>
  </si>
  <si>
    <t>3.6.2</t>
  </si>
  <si>
    <t>3.6</t>
  </si>
  <si>
    <t>3.7</t>
  </si>
  <si>
    <t>3.8</t>
  </si>
  <si>
    <t>3.8.1</t>
  </si>
  <si>
    <t>3.8.2</t>
  </si>
  <si>
    <t>3.9</t>
  </si>
  <si>
    <t>3.9.1</t>
  </si>
  <si>
    <t>3.10</t>
  </si>
  <si>
    <t>3.10.1</t>
  </si>
  <si>
    <t>3.11</t>
  </si>
  <si>
    <t>3.11.1</t>
  </si>
  <si>
    <t>3.11.2</t>
  </si>
  <si>
    <t>3.11.3</t>
  </si>
  <si>
    <t>3.12</t>
  </si>
  <si>
    <t>3.12.1</t>
  </si>
  <si>
    <t>3.12.2</t>
  </si>
  <si>
    <t>3.12.3</t>
  </si>
  <si>
    <t>2.5.2</t>
  </si>
  <si>
    <t>2.10.5</t>
  </si>
  <si>
    <t>2.10.6</t>
  </si>
  <si>
    <t>Tubo de pvc rígido soldável marrom, diâmetro 25mm (3/4"), inclusive conexões</t>
  </si>
  <si>
    <t>Ponto padrão de tomada para chuveiro elétrico - considerando eletroduto PVC rígido de 3/4" inclusive conexões (9.0m), fio isolado PVC de 6.0mm2 (32.5m) e caixa estampada 4x2" (1 und)</t>
  </si>
  <si>
    <t>Ponto padrão de interruptor de 1 tecla intermediário - considerando eletroduto PVC rígido de 3/4" inclusive conexões (3.3m), fio isolado PVC de 2.5mm2 (15.8m) e caixa estampada 4x2" (1 und)</t>
  </si>
  <si>
    <t>Tubo pvc esgoto predial dn 100mm, inclusive conexões, fornecimento e instalação</t>
  </si>
  <si>
    <t>3.9.2</t>
  </si>
  <si>
    <t>Benefícios e Despesas Indiretas:</t>
  </si>
  <si>
    <t>PERÍODO DE EXECUÇÃO</t>
  </si>
  <si>
    <t>INDICADORES</t>
  </si>
  <si>
    <t>%</t>
  </si>
  <si>
    <t>VALOR</t>
  </si>
  <si>
    <t>TOTAL MENSAL R$</t>
  </si>
  <si>
    <t>% MENSAL</t>
  </si>
  <si>
    <t>TOTAL ACUMULADO R$</t>
  </si>
  <si>
    <t>1.1.1</t>
  </si>
  <si>
    <t>1.1.2</t>
  </si>
  <si>
    <t>1.1.3</t>
  </si>
  <si>
    <t>CRONOGRAMA FÍSICO FINANCEIRO</t>
  </si>
  <si>
    <t>DESCRIÇÃO DOS SERVIÇOS</t>
  </si>
  <si>
    <t>CANTEIRO DE OBRAS E LOCAÇÃO</t>
  </si>
  <si>
    <t>ALAMBRADO E PROTEÇÕES</t>
  </si>
  <si>
    <t>TOTALIZADORES</t>
  </si>
  <si>
    <t>TOTAIS           (R$)</t>
  </si>
  <si>
    <t>(%)</t>
  </si>
  <si>
    <t>3.11.7</t>
  </si>
  <si>
    <t>Estrut. Metálica p/ quadra poliesp. Coberta constituída por perfis formados a frio, aço estrutural astm A-570 g33 (terças) astm a-36 (demais perfis) c/ o sistema de tratamento e pintura (BDI diferenciado = 19,32 %)</t>
  </si>
  <si>
    <t>Ponto de consumo terminal de água fria (subramal) com tubulação de PVC, DN 25mm, instalado em ramal de água, inclusos rasgo e chumbamento em alvenaria. F_12/2014</t>
  </si>
  <si>
    <t>MEMÓRIA DE CÁLCULO</t>
  </si>
  <si>
    <t>altura</t>
  </si>
  <si>
    <t>DIMENSÕES</t>
  </si>
  <si>
    <t>QUANT. AFERIDA</t>
  </si>
  <si>
    <t>OBSERVAÇÕES</t>
  </si>
  <si>
    <t>comp.</t>
  </si>
  <si>
    <t>Caixa de inspeção em alvenaria de tijolo maciço 60x60x60cm, revestida internamente com barra lisa (cimento e areia, traço 1:4) e=2,0cm, comtampa pré-moldada de concreto e funo de concreto 15mpa tipo c, escavação e confecção</t>
  </si>
  <si>
    <t>área (m²) ou volume (m³)</t>
  </si>
  <si>
    <t>Repetição (X)</t>
  </si>
  <si>
    <t>unidade por composição c/ serv. Ins. Agregados</t>
  </si>
  <si>
    <t>Chuveiro elétrico comum corpo plástico tipo ducha, fornec. e instalação</t>
  </si>
  <si>
    <t>Eletroduto de pvc rigido roscavel dn 20mm (3/4") incl conexões, fornecimento e instalação</t>
  </si>
  <si>
    <t>Cabo de cobre isolado pvc resistente a chama 450/750 v 16,0 mm2 fornecimento e instalação</t>
  </si>
  <si>
    <t>Caixa coletora de águas pluviais (40x40x40)cm em alvenaria e fundo em concreto</t>
  </si>
  <si>
    <t>Registro gaveta 1" bruto latao - fornecimento e instalacao</t>
  </si>
  <si>
    <t>Registro de pressão bruto, latão, roscável, 3/4", com acabamento e canopla cromados. Fornecido e instalado em ramal de água. Af_12/2014</t>
  </si>
  <si>
    <t>Registro de esfera, pvc, roscável, 3/4", fornecido e instalado em ramal de água. Af_03/2015</t>
  </si>
  <si>
    <t>Registro de esfera, pvc, roscável, 1/2", fornecido e instalado em ramal de água.</t>
  </si>
  <si>
    <t xml:space="preserve">Registro de esfera, pvc, roscável, 1 1/2"", fornecido e instalado em ramal de água. </t>
  </si>
  <si>
    <t>DIMENSÕES (m)</t>
  </si>
  <si>
    <t>FUNDAÇÕES (BLOCOS)</t>
  </si>
  <si>
    <t>ID.</t>
  </si>
  <si>
    <t>CONCRETO</t>
  </si>
  <si>
    <t>CONSUMO DE AÇO</t>
  </si>
  <si>
    <t>VOLUME DE FÔRMAS</t>
  </si>
  <si>
    <t>VOLUME M³ UNIDADE</t>
  </si>
  <si>
    <t>VOLUME M³ TOTAL</t>
  </si>
  <si>
    <t>BARRAS</t>
  </si>
  <si>
    <t xml:space="preserve">BASE </t>
  </si>
  <si>
    <t>LASTRO</t>
  </si>
  <si>
    <t>TRANSV.</t>
  </si>
  <si>
    <t>LONGIT.</t>
  </si>
  <si>
    <t>TOT. UNID.</t>
  </si>
  <si>
    <t>TOT. GERAIS</t>
  </si>
  <si>
    <t>X</t>
  </si>
  <si>
    <t>Y</t>
  </si>
  <si>
    <t>ALT.</t>
  </si>
  <si>
    <t xml:space="preserve">ALT. </t>
  </si>
  <si>
    <t>(3/8")</t>
  </si>
  <si>
    <t>M</t>
  </si>
  <si>
    <t>KG</t>
  </si>
  <si>
    <t>M²</t>
  </si>
  <si>
    <t>M³</t>
  </si>
  <si>
    <t>BL2</t>
  </si>
  <si>
    <t>7</t>
  </si>
  <si>
    <t>TOTAIS GERAIS</t>
  </si>
  <si>
    <t>-</t>
  </si>
  <si>
    <t>FUNDAÇÕES (ARRANQUES)</t>
  </si>
  <si>
    <t>VOLUME M³</t>
  </si>
  <si>
    <t>ESTRIBOS</t>
  </si>
  <si>
    <t>BASE</t>
  </si>
  <si>
    <t>LANÇANTE</t>
  </si>
  <si>
    <t>UNIDADES AÇO CA-60</t>
  </si>
  <si>
    <t>CORTE</t>
  </si>
  <si>
    <t xml:space="preserve">TOTAIS </t>
  </si>
  <si>
    <t>UNIDADES AÇO CA-50</t>
  </si>
  <si>
    <t>TOTAIS</t>
  </si>
  <si>
    <t>(3/16")</t>
  </si>
  <si>
    <t>LANC. 1</t>
  </si>
  <si>
    <t>P28</t>
  </si>
  <si>
    <t>P29</t>
  </si>
  <si>
    <t>P30</t>
  </si>
  <si>
    <t>P31</t>
  </si>
  <si>
    <t>PILARES - Nivel 0,20m</t>
  </si>
  <si>
    <t>VIGAS V2</t>
  </si>
  <si>
    <t>BASE / ALTURA / COMPRIMENTO</t>
  </si>
  <si>
    <t>TOTAIS (5/16")</t>
  </si>
  <si>
    <t>TOTAIS (3/8")</t>
  </si>
  <si>
    <t>B</t>
  </si>
  <si>
    <t>A</t>
  </si>
  <si>
    <t>C</t>
  </si>
  <si>
    <t>(5/16")</t>
  </si>
  <si>
    <t>V103A</t>
  </si>
  <si>
    <t>CONSUMO DE AÇO QUADRA</t>
  </si>
  <si>
    <t>Consumo de Aço CA-60 E CA-50</t>
  </si>
  <si>
    <t>Fôrmas</t>
  </si>
  <si>
    <t>Volume de Concreto / m³</t>
  </si>
  <si>
    <t>Concreto +5% Perda</t>
  </si>
  <si>
    <t>(3/16")/m</t>
  </si>
  <si>
    <t>(3/8")m</t>
  </si>
  <si>
    <t>(5/16")m</t>
  </si>
  <si>
    <t>(3/16")/kg</t>
  </si>
  <si>
    <t>(3/8")kg</t>
  </si>
  <si>
    <t>(5/16")kg</t>
  </si>
  <si>
    <t>Blocos</t>
  </si>
  <si>
    <t>Arranque</t>
  </si>
  <si>
    <t>Pilares</t>
  </si>
  <si>
    <t>Vigas V1</t>
  </si>
  <si>
    <t>TOTAL EM METROS</t>
  </si>
  <si>
    <t>TOTAL EM VARAS</t>
  </si>
  <si>
    <t>TOTAL EM KILOS</t>
  </si>
  <si>
    <t>Aço +5% Perda</t>
  </si>
  <si>
    <t>TOTALIZAÇÃO</t>
  </si>
  <si>
    <t>OBS:</t>
  </si>
  <si>
    <t>AÇO CA-60 5,0mm = (3/16") = 0,154kg/m</t>
  </si>
  <si>
    <t>AÇO CA-60 6,3mm = (1/4") = 0,248kg/m</t>
  </si>
  <si>
    <t>AÇO CA-50 8,0mm = (5/16") = 0,393kg/m</t>
  </si>
  <si>
    <t>AÇO CA-50 10,0mm = (3/8") = 0,624kg/m</t>
  </si>
  <si>
    <t>LAJES e ESCADAS</t>
  </si>
  <si>
    <t>MALHA</t>
  </si>
  <si>
    <t>NEGATIVOS</t>
  </si>
  <si>
    <t>AÇO CA-60 (3/16")</t>
  </si>
  <si>
    <t>AÇO CA-60 (1/4")</t>
  </si>
  <si>
    <t>TOTAIS (1/4")</t>
  </si>
  <si>
    <t>ÁREA</t>
  </si>
  <si>
    <t>ESP.</t>
  </si>
  <si>
    <t>1.º Pavto.</t>
  </si>
  <si>
    <t>2.º Pavto.</t>
  </si>
  <si>
    <t>Escada</t>
  </si>
  <si>
    <t>13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</si>
  <si>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</si>
  <si>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</si>
  <si>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</si>
  <si>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</si>
  <si>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</si>
  <si>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</si>
  <si>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</si>
  <si>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</si>
  <si>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</si>
  <si>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</si>
  <si>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</si>
  <si>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</si>
  <si>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</si>
  <si>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VIGAS V1</t>
  </si>
  <si>
    <t>V001A</t>
  </si>
  <si>
    <t>V001B</t>
  </si>
  <si>
    <t>V001C</t>
  </si>
  <si>
    <t>VE01</t>
  </si>
  <si>
    <t>V203</t>
  </si>
  <si>
    <t>(1/4")m</t>
  </si>
  <si>
    <t>(1/4")kg</t>
  </si>
  <si>
    <t>Lajes</t>
  </si>
  <si>
    <t>Vigas V0</t>
  </si>
  <si>
    <t>Vigas V2</t>
  </si>
  <si>
    <t>VIGAS</t>
  </si>
  <si>
    <t>QUADRA FUNDAÇÕES (BLOCOS)</t>
  </si>
  <si>
    <t>QUADRA FUNDAÇÕES (ARRANQUES)</t>
  </si>
  <si>
    <t xml:space="preserve">QUADRA PILARES </t>
  </si>
  <si>
    <t>CONSUMO DE AÇO PRÉDIO DE APOIO</t>
  </si>
  <si>
    <t>VIGAS - V101</t>
  </si>
  <si>
    <t>VIGAS - V103</t>
  </si>
  <si>
    <t>BASE - Braço tabela de basquete</t>
  </si>
  <si>
    <t>Conforme quadro de quantitativos contido no Projeto Estrutural (Prancha 6/6)</t>
  </si>
  <si>
    <t>Conforme dimensões contidas em projeto estrutural (Prancha 6/6)</t>
  </si>
  <si>
    <t>Conforme planta em escala detalhando Tubos de Queda e Interligação de Caixas até o deságue nas ruas (frente e fundos)</t>
  </si>
  <si>
    <t>Vãos entre pilares - Lado esquerdo da quadra</t>
  </si>
  <si>
    <t>V103B</t>
  </si>
  <si>
    <t>V103C</t>
  </si>
  <si>
    <t>V103D</t>
  </si>
  <si>
    <t>V103E</t>
  </si>
  <si>
    <t>V104</t>
  </si>
  <si>
    <t>V105</t>
  </si>
  <si>
    <t>metragem linear</t>
  </si>
  <si>
    <t>peso / massa</t>
  </si>
  <si>
    <t>CONFORME PROJETO ELÉTRICO</t>
  </si>
  <si>
    <t>DETALHAMENTO DO BDI</t>
  </si>
  <si>
    <t>PROPONENTE:</t>
  </si>
  <si>
    <t>OBRA:</t>
  </si>
  <si>
    <t>CONTRATO:</t>
  </si>
  <si>
    <t>1. Regime de Contribuição Previdenciária</t>
  </si>
  <si>
    <t>Com Desoneração</t>
  </si>
  <si>
    <t>2. Tipo de Intervenção</t>
  </si>
  <si>
    <t>3. Incidências sobre o custo</t>
  </si>
  <si>
    <t>4 – Incidências sobre o preço de venda</t>
  </si>
  <si>
    <t>Despesas Tributárias - I</t>
  </si>
  <si>
    <t>ISS</t>
  </si>
  <si>
    <t>COFINS</t>
  </si>
  <si>
    <t>PIS</t>
  </si>
  <si>
    <t>INSS</t>
  </si>
  <si>
    <t>5 – Demonstrativo de cálculo do BDI</t>
  </si>
  <si>
    <t>( 1- I )</t>
  </si>
  <si>
    <r>
      <t>Administração Central -</t>
    </r>
    <r>
      <rPr>
        <b/>
        <sz val="10"/>
        <rFont val="Arial"/>
        <family val="2"/>
      </rPr>
      <t xml:space="preserve"> AC</t>
    </r>
  </si>
  <si>
    <r>
      <t>Riscos -</t>
    </r>
    <r>
      <rPr>
        <b/>
        <sz val="10"/>
        <rFont val="Arial"/>
        <family val="2"/>
      </rPr>
      <t xml:space="preserve"> R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</si>
  <si>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</si>
  <si>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</si>
  <si>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Lucro -</t>
    </r>
    <r>
      <rPr>
        <b/>
        <sz val="10"/>
        <rFont val="Arial"/>
        <family val="2"/>
      </rPr>
      <t xml:space="preserve"> L</t>
    </r>
  </si>
  <si>
    <r>
      <t xml:space="preserve">BDI=    </t>
    </r>
    <r>
      <rPr>
        <u val="single"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</si>
  <si>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Prefeitura Municipal de Jerônimo Monteiro</t>
  </si>
  <si>
    <t>Construção de Quadra Polisportiva do Bairro Santo Antônio</t>
  </si>
  <si>
    <t>Edificações</t>
  </si>
  <si>
    <t>largura</t>
  </si>
  <si>
    <t>Vol. considerado = Escavação-Fundações+10% (adens.)</t>
  </si>
  <si>
    <t>3.9.3</t>
  </si>
  <si>
    <t>Impermeabilizacao de estruturas enterradas, c/ tinta asfaltica, duas demaos.</t>
  </si>
  <si>
    <t>Portao de ferro em chapa plana 14" (externo) - (2,20x2,10)m</t>
  </si>
  <si>
    <t>Recobrimento de áreas emboçadas (item 2.7.2)</t>
  </si>
  <si>
    <t>Pintura em esmalte sintetico em pecas metalicas utilizando revolver/compressor, duas demaos, incluso uma demao fundo oxido de ferro/zarcao - (portão da quadra: 2,20 x 2,60 m)</t>
  </si>
  <si>
    <t>Tubo de pvc rígido soldável marrom, diâmetro 20mm (1/2"), incl. conexões</t>
  </si>
  <si>
    <t xml:space="preserve">FUNDAÇÃO - Arranques </t>
  </si>
  <si>
    <t>Conforme sistema de medição de praxe quanto ao desconto de vãos</t>
  </si>
  <si>
    <t>PAREDES</t>
  </si>
  <si>
    <t>TETOS</t>
  </si>
  <si>
    <t>Comprimento obtido pelo somatório das paredes internas dos cômodos fechados</t>
  </si>
  <si>
    <t>Revestimento cerâmico para piso com placas tipo grês de dimensões 45x45 cm aplicada em ambientes de área entre 5 m2 e 10 m2.</t>
  </si>
  <si>
    <t>Somatório dos cômodos do prédio</t>
  </si>
  <si>
    <t>Recobrimento de área regularizada com argamassa</t>
  </si>
  <si>
    <t>Vide memória de cálculo abas inferiores</t>
  </si>
  <si>
    <t>Conferido em projeto</t>
  </si>
  <si>
    <t>Conforme projeto de drenagem</t>
  </si>
  <si>
    <t>Conjunto de poste de voleibol de tubo de ferro galvanizado 3"e parte móvel de 21/2", incl. carretilha, furo com tubo de ferro galvanizado de 31/2"e tampão de furo</t>
  </si>
  <si>
    <t>V106A</t>
  </si>
  <si>
    <t>V106B</t>
  </si>
  <si>
    <t>V107</t>
  </si>
  <si>
    <t>V108</t>
  </si>
  <si>
    <t>V109</t>
  </si>
  <si>
    <t>V110</t>
  </si>
  <si>
    <t>V111</t>
  </si>
  <si>
    <t>V112</t>
  </si>
  <si>
    <t>V113</t>
  </si>
  <si>
    <t>V114</t>
  </si>
  <si>
    <t>V115</t>
  </si>
  <si>
    <t>V116A</t>
  </si>
  <si>
    <t>V116B</t>
  </si>
  <si>
    <t>V204</t>
  </si>
  <si>
    <t>VIGAS V0</t>
  </si>
  <si>
    <t>V205</t>
  </si>
  <si>
    <t>V206</t>
  </si>
  <si>
    <t>V207</t>
  </si>
  <si>
    <t>V208</t>
  </si>
  <si>
    <t>V209</t>
  </si>
  <si>
    <t>V210</t>
  </si>
  <si>
    <t>V211A</t>
  </si>
  <si>
    <t>V211B</t>
  </si>
  <si>
    <t>Mictório coletivo de aço inox, liga AISI-304 n.18, marcas de referência Fisher, Metalpress ou Mekal, dimensões 1.80x0.30m, com tubo espargidor</t>
  </si>
  <si>
    <t>Conforme área de piso aferida</t>
  </si>
  <si>
    <t>Aferido em projeto aquitetônico</t>
  </si>
  <si>
    <t xml:space="preserve">Conferido em Projeto Arquitetonico </t>
  </si>
  <si>
    <t>CONFORME PROJETO HIDRÁULICO E SANITÁRIO</t>
  </si>
  <si>
    <t>Execução de passeio (calçada) ou piso de concreto com concreto moldado  in loco, usinado, acabamento convencional, não armado. af_07/2016</t>
  </si>
  <si>
    <t>Básculas em aluminio, basculante, serie 25</t>
  </si>
  <si>
    <t>Lancamento concreto p/ peças armadas prod 2 m3/h incl apenas transp horiz c/carrinhos ate 20m colocacao adensamento e acabamento</t>
  </si>
  <si>
    <t>V101A</t>
  </si>
  <si>
    <t>V101B</t>
  </si>
  <si>
    <t>me perdeu</t>
  </si>
  <si>
    <t>V102</t>
  </si>
  <si>
    <t>BL1</t>
  </si>
  <si>
    <t>P07</t>
  </si>
  <si>
    <t>P08</t>
  </si>
  <si>
    <t>P09</t>
  </si>
  <si>
    <t>P10</t>
  </si>
  <si>
    <t>P11</t>
  </si>
  <si>
    <t>P12</t>
  </si>
  <si>
    <t>P13</t>
  </si>
  <si>
    <t>P14</t>
  </si>
  <si>
    <t>V202A</t>
  </si>
  <si>
    <t>V202B</t>
  </si>
  <si>
    <t>VIGAS - V102 - V104 - V105</t>
  </si>
  <si>
    <t>Área efetiva da placa</t>
  </si>
  <si>
    <t>Quantitativos aferidos conforme somatórios contidos nas memórias de cálculo "Aço Totalizado Quadra" desta Pasta de Trabalho. (Vide Abas Inferiores)</t>
  </si>
  <si>
    <t>FONTE</t>
  </si>
  <si>
    <t xml:space="preserve">CÓDIGO </t>
  </si>
  <si>
    <t>IOPES</t>
  </si>
  <si>
    <t>Fôrma de chapa compensada resinada 12mm, levando-se em conta a utilização 3 vezes (incluido o material, corte, montagem, escoramento e desfôrma)</t>
  </si>
  <si>
    <t>Fornecimento, dobragem e colocação em fôrma, de armadura CA-50 A média, diâmetro de 6.3 a 10.0 mm</t>
  </si>
  <si>
    <t>SINAPI</t>
  </si>
  <si>
    <t>94965</t>
  </si>
  <si>
    <t>87530</t>
  </si>
  <si>
    <t>Área efetiva de piso</t>
  </si>
  <si>
    <t xml:space="preserve">Concreto estrutural fck=25mpa, virado em betoneira, na obra, sem lança </t>
  </si>
  <si>
    <t>Quantitativos aferidos conforme somatórios contidos nas memórias de cálculo "Aço Totalizado Quadra"  desta Pasta de Trabalho. (Vide Abas Inferiores)</t>
  </si>
  <si>
    <t>151801</t>
  </si>
  <si>
    <t>Concreto estrutural fck=25mpa, virado em betoneira, na obra, sem lanç.</t>
  </si>
  <si>
    <t>Impermeabiliza de estruturas enterradas, com tinta asfaltica, duas demaos.</t>
  </si>
  <si>
    <t>87265</t>
  </si>
  <si>
    <t>3.6.1</t>
  </si>
  <si>
    <t>Porta em madeira de lei tipo angelim pedra ou equiv.c/enchimento em madeira 1a.qualidade esp. 30mm p/ pintura, incl. fechadura tipo "livre/ocupado" em latão cromado Lafonte ou equiv. e ferragens p/ fixação em granito, excl. marco, nas dimensões: 0.60 x 1.60 m</t>
  </si>
  <si>
    <t>061403</t>
  </si>
  <si>
    <t>Marco de madeira de lei de 1ª (Peroba, Ipê, Angelim Pedra ou equivalente) com 15x3 cm de batente, nas dimensões de 0.80 x 2.10 m</t>
  </si>
  <si>
    <t>Porta em madeira de lei tipo angelim pedra ou equiv.c/enchimento em madeira 1a.qualidade esp. 30mm p/ pintura, inclusive alizares, dobradiças e fechadura externa em latão cromado LaFonte ou equiv., exclusive marco, nas dim.: 0.80 x 2.10 m</t>
  </si>
  <si>
    <t>3.8.3</t>
  </si>
  <si>
    <t>ADMINISTRAÇÃO LOCAL DA OBRA</t>
  </si>
  <si>
    <t>140705</t>
  </si>
  <si>
    <t>2.1</t>
  </si>
  <si>
    <t>2.1.1</t>
  </si>
  <si>
    <t>2.1.2</t>
  </si>
  <si>
    <t>2.2</t>
  </si>
  <si>
    <t>2.2.1</t>
  </si>
  <si>
    <t>2.2.2</t>
  </si>
  <si>
    <t>2.2.3</t>
  </si>
  <si>
    <t>2.2.4</t>
  </si>
  <si>
    <t>2.2.5</t>
  </si>
  <si>
    <t>2.3.3</t>
  </si>
  <si>
    <t>2.3.5</t>
  </si>
  <si>
    <t>2.3.4</t>
  </si>
  <si>
    <t>2.3.6</t>
  </si>
  <si>
    <t>2.6.2</t>
  </si>
  <si>
    <t>2.7.3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</si>
  <si>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</si>
  <si>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</si>
  <si>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</si>
  <si>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</si>
  <si>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</si>
  <si>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</si>
  <si>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</si>
  <si>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</si>
  <si>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2.8.11</t>
  </si>
  <si>
    <t>2.8.12</t>
  </si>
  <si>
    <t>2.9.5</t>
  </si>
  <si>
    <t>2.11</t>
  </si>
  <si>
    <t>2.11.1</t>
  </si>
  <si>
    <t>2.11.2</t>
  </si>
  <si>
    <t>2.11.3</t>
  </si>
  <si>
    <t>2.11.4</t>
  </si>
  <si>
    <t>2.11.5</t>
  </si>
  <si>
    <t>3.10.2</t>
  </si>
  <si>
    <t>3.10.3</t>
  </si>
  <si>
    <t>3.10.4</t>
  </si>
  <si>
    <t>3.10.5</t>
  </si>
  <si>
    <t>3.10.6</t>
  </si>
  <si>
    <t>3.10.7</t>
  </si>
  <si>
    <t>3.11.8</t>
  </si>
  <si>
    <t>3.11.9</t>
  </si>
  <si>
    <t>3.11.10</t>
  </si>
  <si>
    <t>3.11.11</t>
  </si>
  <si>
    <t>3.11.12</t>
  </si>
  <si>
    <t>3.11.13</t>
  </si>
  <si>
    <t>3.11.14</t>
  </si>
  <si>
    <t>3.11.15</t>
  </si>
  <si>
    <t>3.11.16</t>
  </si>
  <si>
    <t>3.11.17</t>
  </si>
  <si>
    <t>3.11.18</t>
  </si>
  <si>
    <t>3.11.19</t>
  </si>
  <si>
    <t>3.11.20</t>
  </si>
  <si>
    <t>3.11.21</t>
  </si>
  <si>
    <t>3.11.22</t>
  </si>
  <si>
    <t>3.11.23</t>
  </si>
  <si>
    <t>3.11.24</t>
  </si>
  <si>
    <t>3.11.25</t>
  </si>
  <si>
    <t>3.11.26</t>
  </si>
  <si>
    <t>3.11.27</t>
  </si>
  <si>
    <t>3.11.28</t>
  </si>
  <si>
    <t>3.11.29</t>
  </si>
  <si>
    <t>3.11.30</t>
  </si>
  <si>
    <t>3.11.31</t>
  </si>
  <si>
    <t>3.11.32</t>
  </si>
  <si>
    <t>3.11.33</t>
  </si>
  <si>
    <t>Jerônimo Monteiro / ES, 20 de AGOSTO de 2018.</t>
  </si>
  <si>
    <t>2.2.6</t>
  </si>
  <si>
    <t>3.3.5</t>
  </si>
  <si>
    <t>3.3.6</t>
  </si>
  <si>
    <t>Corte e dobra de aço CA-60, diâmetro de 5,0 mm, utilizado em estruturas diversas, exceto lajes. Af_12/2015</t>
  </si>
  <si>
    <t>Armação de laje de uma estrutura convencional de concreto armado em uma edificação térrea ou sobrado utilizando aço CA-60 de 5,0 mm - montagem. Af_12/2015</t>
  </si>
  <si>
    <t>Armação de laje de uma estrutura convencional de concreto armado em uma edificação térrea ou sobrado utilizando aço CA-50 de 6,3 mm - montagem. Af_12/2015</t>
  </si>
  <si>
    <t>3.3.7</t>
  </si>
  <si>
    <t xml:space="preserve">Concreto estrutural fck=25mpa, virado em betoneira, na obra, s/ lançamento </t>
  </si>
  <si>
    <t>CONSTRUÇÃO DO CENTRO DE REFERÊNCIA ESPECIALIZADO DE ASSITÊNCIA SOCIAL - CREAS</t>
  </si>
  <si>
    <t>OBRA</t>
  </si>
  <si>
    <t>LOCAL</t>
  </si>
  <si>
    <t>1.0</t>
  </si>
  <si>
    <t>1.2</t>
  </si>
  <si>
    <t>1.3</t>
  </si>
  <si>
    <t>2.0</t>
  </si>
  <si>
    <t>3.0</t>
  </si>
  <si>
    <t>4.0</t>
  </si>
  <si>
    <t>4.2</t>
  </si>
  <si>
    <t>4.3</t>
  </si>
  <si>
    <t>4.4</t>
  </si>
  <si>
    <t>5.0</t>
  </si>
  <si>
    <t>5.1</t>
  </si>
  <si>
    <t>6.0</t>
  </si>
  <si>
    <t>6.1</t>
  </si>
  <si>
    <t>6.2</t>
  </si>
  <si>
    <t>7.0</t>
  </si>
  <si>
    <t>7.1</t>
  </si>
  <si>
    <t>8.0</t>
  </si>
  <si>
    <t>4.5</t>
  </si>
  <si>
    <t>92543</t>
  </si>
  <si>
    <t>151702</t>
  </si>
  <si>
    <t>8.1</t>
  </si>
  <si>
    <t>040250</t>
  </si>
  <si>
    <t>Fôrma de tábua de madeira de 2.5x30.0cm, levando-se em conta utilização 3 vezes (incluindo o material, corte, montagem, escoramento e desforma)</t>
  </si>
  <si>
    <t>ESQUADRIAS DE MADEIRA E METÁLICA</t>
  </si>
  <si>
    <t>Ponto de água fria (lavatório, tanque, pia de cozinha, etc...)</t>
  </si>
  <si>
    <t>140701</t>
  </si>
  <si>
    <t>Ponto para esgoto primário (vaso sanitário)</t>
  </si>
  <si>
    <t>Ponto para esgoto secundário (pia, lavatório, mictório, tanque, bidê, etc...)</t>
  </si>
  <si>
    <t>140706</t>
  </si>
  <si>
    <t>pto</t>
  </si>
  <si>
    <t>Registro de gaveta com canopla cromada, diam. 20mm (3/4"), marcas de referência Fabrimar, Deca ou Docol</t>
  </si>
  <si>
    <t>ADMINISTRAÇÃO DA OBRA</t>
  </si>
  <si>
    <t>4.6</t>
  </si>
  <si>
    <t>5.2</t>
  </si>
  <si>
    <t>5.3</t>
  </si>
  <si>
    <t>5.4</t>
  </si>
  <si>
    <t>5.5</t>
  </si>
  <si>
    <t>9.0</t>
  </si>
  <si>
    <t>9.1</t>
  </si>
  <si>
    <t>9.2</t>
  </si>
  <si>
    <t>10.0</t>
  </si>
  <si>
    <t>10.1</t>
  </si>
  <si>
    <t>10.2</t>
  </si>
  <si>
    <t>10.3</t>
  </si>
  <si>
    <t>10.4</t>
  </si>
  <si>
    <t>10.5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</si>
  <si>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</si>
  <si>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</si>
  <si>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</si>
  <si>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</si>
  <si>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</si>
  <si>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</si>
  <si>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</si>
  <si>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</si>
  <si>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</si>
  <si>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</si>
  <si>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</si>
  <si>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12.0</t>
  </si>
  <si>
    <t>12.1</t>
  </si>
  <si>
    <t>12.2</t>
  </si>
  <si>
    <t>12.3</t>
  </si>
  <si>
    <t>12.4</t>
  </si>
  <si>
    <t>12.5</t>
  </si>
  <si>
    <t>12.6</t>
  </si>
  <si>
    <t>14.0</t>
  </si>
  <si>
    <t>14.1</t>
  </si>
  <si>
    <t>13.0</t>
  </si>
  <si>
    <t>13.1</t>
  </si>
  <si>
    <t>13.2</t>
  </si>
  <si>
    <t>13.3</t>
  </si>
  <si>
    <t>RUA NÉRCIO COLOMBINI, S/Nº, BAIRRO SANTA CLARA - JERÔNIMO MONTEIRO - ES</t>
  </si>
  <si>
    <t>CONSTRUÇÃO DO CENTRO DE REFERÊNCIA ESPECIALIZADO DE ASSISTÊNCIA SOCIAL - CREAS</t>
  </si>
  <si>
    <t>Área aferida em projeto</t>
  </si>
  <si>
    <t>Fechamento da frente = 9,95m + 3,00m + 3,00m = 15,95m</t>
  </si>
  <si>
    <t>13.4</t>
  </si>
  <si>
    <t>INSTALAÇÃO DE REDE LÓGICA</t>
  </si>
  <si>
    <t>INSTALAÇÃO DE TELEFONE</t>
  </si>
  <si>
    <t>INSTALAÇÃO ELÉTRICA</t>
  </si>
  <si>
    <t>INSTALAÇÃO HIDROSSANITÁRIA</t>
  </si>
  <si>
    <t>15.0</t>
  </si>
  <si>
    <t>15.1</t>
  </si>
  <si>
    <t>16.0</t>
  </si>
  <si>
    <t>16.1</t>
  </si>
  <si>
    <t>17.0</t>
  </si>
  <si>
    <t>LIMPEZA GERAL DA OBRA</t>
  </si>
  <si>
    <t>18.0</t>
  </si>
  <si>
    <t>SERVIÇOS COMPLEMENTARES</t>
  </si>
  <si>
    <t>10.6</t>
  </si>
  <si>
    <t>10.7</t>
  </si>
  <si>
    <t>CONCRETO ARMADO (SUPERESTRUTURA)</t>
  </si>
  <si>
    <t>ESQUADRIAS METÁLICAS E MADEIRA</t>
  </si>
  <si>
    <t>REVESTIMENTO</t>
  </si>
  <si>
    <t>Construção do Centro de Referência Especializado de Assistência Social - CREAS</t>
  </si>
  <si>
    <t>Data: 20/09/2018</t>
  </si>
  <si>
    <t>1046096-21 / 863688</t>
  </si>
  <si>
    <t>1.4</t>
  </si>
  <si>
    <t>4.7</t>
  </si>
  <si>
    <t>4.8</t>
  </si>
  <si>
    <t>92784</t>
  </si>
  <si>
    <t>92785</t>
  </si>
  <si>
    <t>9.3</t>
  </si>
  <si>
    <t>9.4</t>
  </si>
  <si>
    <t>10.8</t>
  </si>
  <si>
    <t>Regularização de base p/ revestimento cerâmico, com argamassa de cimento e areia no traço 1:5, espessura 3cm</t>
  </si>
  <si>
    <t>130103</t>
  </si>
  <si>
    <t>95472</t>
  </si>
  <si>
    <t>95544</t>
  </si>
  <si>
    <t>95542</t>
  </si>
  <si>
    <t>13.5</t>
  </si>
  <si>
    <t>13.6</t>
  </si>
  <si>
    <t>Anderson Luiz Emery Santos</t>
  </si>
  <si>
    <t>Lavatório de Canto ref. L101 DECA ou equivalente, inclusive válvula, sifão e engates cromados, exclusive torneira</t>
  </si>
  <si>
    <t>170124</t>
  </si>
  <si>
    <t>7.2</t>
  </si>
  <si>
    <t>98567</t>
  </si>
  <si>
    <t>INFRA-ESTRUTURA</t>
  </si>
  <si>
    <t>SUPERESTRUTURA</t>
  </si>
  <si>
    <t>4.9</t>
  </si>
  <si>
    <t>92786</t>
  </si>
  <si>
    <t>92787</t>
  </si>
  <si>
    <t>8.3</t>
  </si>
  <si>
    <t>Ponto padrão de interruptor de 3 teclas simples - considerando eletroduto PVC rígido de 3/4" inclusive conexões (4.5m), fio isolado PVC de 2.5mm2 (25.8m) e caixa estampada 4x2" (1 und)</t>
  </si>
  <si>
    <t>151816</t>
  </si>
  <si>
    <t>Ponto padrão de tomada de piso - considerando eletroduto PVC rígido de 3/4" inclusive conexões (5.0m), fio isolado PVC de 2.5mm2 (18.0m) e caixa alumínio silício 4x4" (1 und)</t>
  </si>
  <si>
    <t>Mini-Disjuntor bipolar 80 A, curva C - 5KA 240VCA (NBR IEC 60947-2), Ref. Siemens, GE, Schneider ou equivalente</t>
  </si>
  <si>
    <t>151817</t>
  </si>
  <si>
    <t>151326</t>
  </si>
  <si>
    <t>11.11</t>
  </si>
  <si>
    <t>11.12</t>
  </si>
  <si>
    <t>11.13</t>
  </si>
  <si>
    <t>11.14</t>
  </si>
  <si>
    <t>11.15</t>
  </si>
  <si>
    <t>Ponto para caixa sifonada, inclusive caixa sifonada 150x150x50 mm c/ grelha em pvc</t>
  </si>
  <si>
    <t>140707</t>
  </si>
  <si>
    <t>Caixa de passagem de alvenaria de blocos cerâmicos 10 furos 10x20x20cm, dimensão de 50x50x50cm, com revestimento interno em chapisco e reboco, tampa de concreto esp. 5cm e lastro de brita 5cm</t>
  </si>
  <si>
    <t>151004</t>
  </si>
  <si>
    <t>Caixa de inspeção de alvenaria de blocos cerâmicos 10 furos 10x20x20cm dimensões de 30x30x60cm, com revestimento interno em chapisco e reboco, tampa de concreto esp.5cm e lastro de brita 5 cm</t>
  </si>
  <si>
    <t>151015</t>
  </si>
  <si>
    <t>140102</t>
  </si>
  <si>
    <t>140103</t>
  </si>
  <si>
    <t>Fossa séptica de anéis pré-moldados de concreto, diâmetro 1.50 m, altura útil de 1.70m, completa, incluindo tampa c/visita de 60cm, concreto p/fundo esp.10 cm, e tubo para ligação ao filtro</t>
  </si>
  <si>
    <t>Filtro anaeróbio de anéis pré-moldados de concreto, diâmetro de 1.50m, altura útil de 1.80m, completo, incl. tampa c/visita de 60 cm, concreto p/fundo esp.10cm e tubulação de saída de esgoto</t>
  </si>
  <si>
    <t>14.2</t>
  </si>
  <si>
    <t>10.9</t>
  </si>
  <si>
    <t>200253</t>
  </si>
  <si>
    <t>200254</t>
  </si>
  <si>
    <t>Fornecimento e assentamento de ladrilho hidráulico pastilhado, vermelho, dim. 20x20 cm, esp. 1.5cm, com pasta de cimento colante, exclusive regularização e lastro</t>
  </si>
  <si>
    <t>Fornecimento e assentamento de ladrilho hidráulico ranhurado, vermelho, dim. 20x20 cm, esp. 1.5cm, com pasta de cimento colante, exclusive regularização e lastro</t>
  </si>
  <si>
    <t>1.5</t>
  </si>
  <si>
    <t>Ponto de válvula de descarga, inclusive válvula de descarga de 50mm (1 1/2"), com acabamento para válvula de descarga Benefit, marca de referência Docol ou equivalente Mod. 00184906</t>
  </si>
  <si>
    <t>140713</t>
  </si>
  <si>
    <t>PAVIMENTAÇÃO</t>
  </si>
  <si>
    <t>INSTALAÇÃO DE SPDA</t>
  </si>
  <si>
    <t>Caixa de inspeção em PVC, diâmetro 300 mm, ref TEL-552, marca de referência Termotécnica ou equivalente, inclusive escavação e reaterro</t>
  </si>
  <si>
    <t>Conector de medição em latão com 2 parafusos para cabos de 16 a 50 mm2, ref. TEL-562, Termotécnica ou equivalente</t>
  </si>
  <si>
    <t xml:space="preserve"> 160316</t>
  </si>
  <si>
    <t xml:space="preserve"> 160310</t>
  </si>
  <si>
    <t>14.3</t>
  </si>
  <si>
    <t>14.4</t>
  </si>
  <si>
    <t>14.5</t>
  </si>
  <si>
    <t>15.2</t>
  </si>
  <si>
    <t>17.1</t>
  </si>
  <si>
    <t>96973</t>
  </si>
  <si>
    <t>Cordoalha de cobre nú 35 mm², não enterrada, com isolador - Fornecimento e instalação. AF-12/2017</t>
  </si>
  <si>
    <t>96977</t>
  </si>
  <si>
    <t>Cordoalha de cobre nú 50 mm², enterrada, sem isolador - Fornecimento e instalação. AF-12/2017</t>
  </si>
  <si>
    <t>96984</t>
  </si>
  <si>
    <t>96985</t>
  </si>
  <si>
    <t>Haste de aterramento 5/8" para SPDA - Fornecimento  e instalação. AF- 12/2017</t>
  </si>
  <si>
    <t>98295</t>
  </si>
  <si>
    <t>Cabo eletrônico categoria 5E, instalado em edificação institucional - Fornecimento e instalação. AF_03/2018</t>
  </si>
  <si>
    <t>98302</t>
  </si>
  <si>
    <t>Patch painel 24 portas, categoria 6 - Fornecimento e instalação. AF-03/2018</t>
  </si>
  <si>
    <t>Patch painel 48 portas, categoria 6 - Fornecimento e instalação. AF-03/2018</t>
  </si>
  <si>
    <t>Eletroduto PVC 40 mm (1 1/4") para SPDA - Fornecimento e instalação. AF-12/2017</t>
  </si>
  <si>
    <t>91941</t>
  </si>
  <si>
    <t>91939</t>
  </si>
  <si>
    <t>Caixa retangular 4" x 2" alta (2,00 m do piso), PVC, instalada em parede - Fornecimento e instalação. AF_12/2015</t>
  </si>
  <si>
    <t>Caixa retangular 4" x 2" baixa (0,30 m do piso), PVC, instalada em parede - Fornecimento e instalação. AF_12/2015</t>
  </si>
  <si>
    <t>MERCADO</t>
  </si>
  <si>
    <t>93010</t>
  </si>
  <si>
    <t>Eletroduto rígido roscável, PVC, DN 75 mm (2 1/2") - Fornecimento e instalação. AF_12/2015</t>
  </si>
  <si>
    <t>Tomada de rede RJ45 - Fornecimento e instalação . AF-03/2018</t>
  </si>
  <si>
    <t>1.6</t>
  </si>
  <si>
    <t>98307</t>
  </si>
  <si>
    <t>98304</t>
  </si>
  <si>
    <t>Rack de 19" para parede 12 U x 470 mm com porta frontal acrílica - fornecimento e instalação.</t>
  </si>
  <si>
    <t>INSTALAÇÃO DE REDE ESTRUTURADA (TELEFONE E LÓGICA)</t>
  </si>
  <si>
    <t>ESTADO DO ESPIRITO SANTO</t>
  </si>
  <si>
    <t>CÓDIGO</t>
  </si>
  <si>
    <t>UNID</t>
  </si>
  <si>
    <t>CÁLCULO</t>
  </si>
  <si>
    <t>3,00 metros comprimento x 2,00 metros de largura = 6,00 m²</t>
  </si>
  <si>
    <r>
      <t xml:space="preserve">Frente = 2,00 m (lateral esquerda) + 9,95 m + 2,00 (lateral direita) = 13,95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Fundos = 2,00 m (lateral esquerda) + 9,95 m + 2,00 (lateral direita) = 13,95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Lateral Direita = 2,00 m (frente) + 2,95 m + 21,80 m + 2,00 (fundos) = 28,75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Lateral Esquerda = 2,00 m (frente) + 2,95 m + 21,80 m + 2,00 (fundos) = 28,75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Total = 85,40 m</t>
    </r>
  </si>
  <si>
    <t>Entrada provisória = 1,00 unidade</t>
  </si>
  <si>
    <t>Rede de água = 25,00 metros</t>
  </si>
  <si>
    <t>Quantitativos retirados no projeto estrutural = 84,56 m² + 29,81 m² + 127,22 m² + 196,05 m² = 437,64 m²</t>
  </si>
  <si>
    <t>Quantitativos retirados no projeto estrutural = 143,30 Kg + 10,60 Kg = 153,90 Kg - 10 % = 138,51 Kg</t>
  </si>
  <si>
    <t>Quantitativos retirados no projeto estrutural = 222,90 Kg + 12,00 Kg =  234,90 - 10 % = 211,41 Kg</t>
  </si>
  <si>
    <t>Quantitativos retirados no projeto estrutural = 102,60 Kg - 10 % = 92,34 Kg</t>
  </si>
  <si>
    <t>Quantitativos retirados no projeto estrutural = 307,10 Kg - 10 % = 276,39 Kg</t>
  </si>
  <si>
    <t>Quantitativos retirados no projeto estrutural = 5,08 m³ + 1,79 m³ + 6,40 m³ + 19,61 m³ = 32,88 m³</t>
  </si>
  <si>
    <t>ESQUADRIAS DE MADEIRA E METÁLICAS</t>
  </si>
  <si>
    <t>Conforme projeto =  02 unidades</t>
  </si>
  <si>
    <t>Conforme projeto = 04 unidades</t>
  </si>
  <si>
    <t>Conforme projeto = 12 unidades</t>
  </si>
  <si>
    <t>Conforme projeto = 03 unidades</t>
  </si>
  <si>
    <t>Conforme projeto = 14 unidades</t>
  </si>
  <si>
    <r>
      <t xml:space="preserve">Conforme projeto:                                                                                                                                                                                                                       JA-1 = (1,15 x 2,00)m = 2,30 m²                                                                                                                                                                                                        JA-6 = (1,65 x 2,00)m = 3,30 m²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Total = 5,60 m²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</si>
  <si>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Conforme projeto:                                                                                                                                                                                                                   PV-1 = (2,50 x 2,10)m = 5,25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PV-2 = (2,00 x 2,10)m = 4,20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Total = 9,45 m²</t>
    </r>
  </si>
  <si>
    <r>
      <t xml:space="preserve">Conforme projeto:                                                                                                                                                                                                                                                                      PV-1 = 01 conjunto                                                                                                                                                                                                                                                                                                       PV-2 = 02 conjuntos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Total = 03 conjuntos</t>
    </r>
  </si>
  <si>
    <r>
      <t xml:space="preserve">Conforme projeto:                                                                                                                                                                                                                                                PF-1 = (0,64 x 0,64)m x 02 = 0,82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PF-2 = (0,84 x 0,84)m x 01 = 0,71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PF-3 = (0,90 x 2,10)m x 02 = 3,78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Total = 5,31 m² </t>
    </r>
  </si>
  <si>
    <t>(4,15 m x 4,50 m x 02) + (3,70 m x 2,70 m) + (2,70m x 2,10 m) + (2,95 m x 2,45 m) + (12,05 m x 4,52 m) + (5,85 m x 4,52 m) + (3,60 m x 3,37 m) + (2,60 m x 1,82 m) = 37,35 m² + 9,99 m² + 5,67 m² + 7,23 m² + 54,47 m² + 26,44 m² + 12,13 m² + 4,73 m² = 158,01 m²</t>
  </si>
  <si>
    <t xml:space="preserve">Quantitativos retirados em projeto = 4,30 m + 4,80 m + 6,06 m + 4,60 m + 4,60 m + 6,80 m + 3,56 m + 3,56 m + 2,45 m + 1,80 m + 1,30 m + 4,82 m + 4,82 m = 53,47 m </t>
  </si>
  <si>
    <t>08 descidas de 3,00 metros de altura = 24,00 m</t>
  </si>
  <si>
    <t>Calha de concreto armado Fck=15 MPa em "U" nas dimensões de 38 x 56 cm conforme detalhes em projeto</t>
  </si>
  <si>
    <t xml:space="preserve">Quantitativos retirados em projeto = 3,00 m + 1,00 m + 6,15 m + 12,05 m + 4,50 m + 2,45 m + 3,15 m + 1,30 m + 6,15 m = 39,75 m </t>
  </si>
  <si>
    <t xml:space="preserve">Quadro de áreas retiradas em projeto = 34,43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</si>
  <si>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Arial"/>
        <family val="2"/>
      </rPr>
      <t>Administração/Coordenação</t>
    </r>
    <r>
      <rPr>
        <sz val="9"/>
        <rFont val="Arial"/>
        <family val="2"/>
      </rPr>
      <t xml:space="preserve"> = (4,00m + 4,00m + 3,00m + 3,00m) x 2,30m  - (0,80m x 2,10m) -(2,00 m x 1,10m) = 32,20 m² - 0 - 0,20 m² = </t>
    </r>
    <r>
      <rPr>
        <b/>
        <sz val="9"/>
        <rFont val="Arial"/>
        <family val="2"/>
      </rPr>
      <t xml:space="preserve">32,00 m²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Sala Atividade Individual II </t>
    </r>
    <r>
      <rPr>
        <sz val="9"/>
        <rFont val="Arial"/>
        <family val="2"/>
      </rPr>
      <t xml:space="preserve">= (3,00m + 3,00m + 3,00m) x 2,30m  - (0,80m x 2,10m) - (2,00 m x 1,10m) = 20,70 m² - 0 - 0,20 m² = </t>
    </r>
    <r>
      <rPr>
        <b/>
        <sz val="9"/>
        <rFont val="Arial"/>
        <family val="2"/>
      </rPr>
      <t xml:space="preserve">20,50 m²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Sala Atividade Individual I</t>
    </r>
    <r>
      <rPr>
        <sz val="9"/>
        <rFont val="Arial"/>
        <family val="2"/>
      </rPr>
      <t xml:space="preserve"> = (3,00m + 3,00m) x 2,30m  - (0,80m x 2,10m) - (2,00 m x 1,10m) = 13,80 m² - 0 - 0,20 m² = </t>
    </r>
    <r>
      <rPr>
        <b/>
        <sz val="9"/>
        <rFont val="Arial"/>
        <family val="2"/>
      </rPr>
      <t xml:space="preserve">13,60 m²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Sala Multiuso</t>
    </r>
    <r>
      <rPr>
        <sz val="9"/>
        <rFont val="Arial"/>
        <family val="2"/>
      </rPr>
      <t xml:space="preserve"> = (8,90m + 8,90m + 4,15m + 4,15m) x 2,30m  - (2,00 m x 1,10m) - (2,00 m x 1,10m) - (1,20 m x 2,10m) - (2,50 m x 2,10m) = 60,03 m² - 0,20 m² - 0,20 m² - 0,52 m² - 3,25 m² = </t>
    </r>
    <r>
      <rPr>
        <b/>
        <sz val="9"/>
        <rFont val="Arial"/>
        <family val="2"/>
      </rPr>
      <t xml:space="preserve">55,86 m² </t>
    </r>
    <r>
      <rPr>
        <sz val="9"/>
        <rFont val="Arial"/>
        <family val="2"/>
      </rPr>
      <t xml:space="preserve">                                                                                                                           </t>
    </r>
    <r>
      <rPr>
        <b/>
        <sz val="9"/>
        <rFont val="Arial"/>
        <family val="2"/>
      </rPr>
      <t>Espaço externo coberto</t>
    </r>
    <r>
      <rPr>
        <sz val="9"/>
        <rFont val="Arial"/>
        <family val="2"/>
      </rPr>
      <t xml:space="preserve"> = (2,80m - 1,15m) x 2,30m = 1,65 m x 2,30 m = </t>
    </r>
    <r>
      <rPr>
        <b/>
        <sz val="9"/>
        <rFont val="Arial"/>
        <family val="2"/>
      </rPr>
      <t xml:space="preserve">3,80 m²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Circulação </t>
    </r>
    <r>
      <rPr>
        <sz val="9"/>
        <rFont val="Arial"/>
        <family val="2"/>
      </rPr>
      <t xml:space="preserve">= 1,35 m x 2,30 m 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(1,15m x 2,00m) = 3,11 m² - 0,30 m² =  </t>
    </r>
    <r>
      <rPr>
        <b/>
        <sz val="9"/>
        <rFont val="Arial"/>
        <family val="2"/>
      </rPr>
      <t>2,81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m²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Sala Atividade Familiar I</t>
    </r>
    <r>
      <rPr>
        <sz val="9"/>
        <rFont val="Arial"/>
        <family val="2"/>
      </rPr>
      <t xml:space="preserve"> = (4,00m + 4,00m + 3,00m + 3,00m) x 2,30m  - (0,80m x 2,10m) - (2,00 m x 1,10m) = 32,20 m² - 0,20 m² = </t>
    </r>
    <r>
      <rPr>
        <b/>
        <sz val="9"/>
        <rFont val="Arial"/>
        <family val="2"/>
      </rPr>
      <t xml:space="preserve">32,00 m²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Sala Atividade Familiar II</t>
    </r>
    <r>
      <rPr>
        <sz val="9"/>
        <rFont val="Arial"/>
        <family val="2"/>
      </rPr>
      <t xml:space="preserve"> = (4,00m + 3,00m + 3,00m) x 2,30m  - (0,80m x 2,10m) - (2,00 m x 1,10m) = 23,00 m² - 0 - 0,20 m² = </t>
    </r>
    <r>
      <rPr>
        <b/>
        <sz val="9"/>
        <rFont val="Arial"/>
        <family val="2"/>
      </rPr>
      <t xml:space="preserve">22,80 m²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WC PNE</t>
    </r>
    <r>
      <rPr>
        <sz val="9"/>
        <rFont val="Arial"/>
        <family val="2"/>
      </rPr>
      <t xml:space="preserve"> = (1,71m + 1,50m + 1,50m) x 2,30m - (0,80m x 2,10m) = 10,83 m² - 0 =</t>
    </r>
    <r>
      <rPr>
        <b/>
        <sz val="9"/>
        <rFont val="Arial"/>
        <family val="2"/>
      </rPr>
      <t xml:space="preserve"> 10,83 m²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WC PNE </t>
    </r>
    <r>
      <rPr>
        <sz val="9"/>
        <rFont val="Arial"/>
        <family val="2"/>
      </rPr>
      <t>= (1,50m + 1,50m) x 2,30 m - (0,80m x 2,10m) - (3,05m x 0,50m) = 6,90m² - 0 - 0 =</t>
    </r>
    <r>
      <rPr>
        <b/>
        <sz val="9"/>
        <rFont val="Arial"/>
        <family val="2"/>
      </rPr>
      <t xml:space="preserve"> 6,90m²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Copa</t>
    </r>
    <r>
      <rPr>
        <sz val="9"/>
        <rFont val="Arial"/>
        <family val="2"/>
      </rPr>
      <t xml:space="preserve"> = (3,26m + 1,45m + 2,45m + 2,45m) x 2,30m  - (1,45m x 1,00m) - (0,80m x 2,10m) - (1,40m x 1,10m) - (0,80m x 2,10m) = 22,10 m² - 0 - 0 - 0 - 0 = </t>
    </r>
    <r>
      <rPr>
        <b/>
        <sz val="9"/>
        <rFont val="Arial"/>
        <family val="2"/>
      </rPr>
      <t xml:space="preserve">22,10 m²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WC Feminino</t>
    </r>
    <r>
      <rPr>
        <sz val="9"/>
        <rFont val="Arial"/>
        <family val="2"/>
      </rPr>
      <t xml:space="preserve"> = (2,81m + 2,81m + 2,18m + 2,18m) x 2,30m  - (0,80m x 2,10m) - (4,40m x 0,50m) = 22,95 m² - 0 - 0,20 m² = </t>
    </r>
    <r>
      <rPr>
        <b/>
        <sz val="9"/>
        <rFont val="Arial"/>
        <family val="2"/>
      </rPr>
      <t xml:space="preserve">22,75 m²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WC masculino</t>
    </r>
    <r>
      <rPr>
        <sz val="9"/>
        <rFont val="Arial"/>
        <family val="2"/>
      </rPr>
      <t xml:space="preserve"> = (2,18m + 2,18m) x 2,30m - (0,80m x 2,10m) = 10,03 m² - 0 = </t>
    </r>
    <r>
      <rPr>
        <b/>
        <sz val="9"/>
        <rFont val="Arial"/>
        <family val="2"/>
      </rPr>
      <t xml:space="preserve">10,03 m²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Recepção </t>
    </r>
    <r>
      <rPr>
        <sz val="9"/>
        <rFont val="Arial"/>
        <family val="2"/>
      </rPr>
      <t>= (5,91m + 1,65m + 3,15m + 4,45m) x 2,30m  - (1,20m x 2,10m) - (1,65m x 2,00m) - (2,00 m x 2,10m)  = 34,87 m² - 0,52 m² - 1,30 m² - 2,20 m² =</t>
    </r>
    <r>
      <rPr>
        <b/>
        <sz val="9"/>
        <rFont val="Arial"/>
        <family val="2"/>
      </rPr>
      <t xml:space="preserve"> 30,85 m²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Caixa d'água</t>
    </r>
    <r>
      <rPr>
        <sz val="9"/>
        <rFont val="Arial"/>
        <family val="2"/>
      </rPr>
      <t xml:space="preserve"> = (3,26m + 3,26m + 2,75m + 2,75m) x 2,30m - (0,84m x 0,84m)  = 27,65 m² - 0 = </t>
    </r>
    <r>
      <rPr>
        <b/>
        <sz val="9"/>
        <rFont val="Arial"/>
        <family val="2"/>
      </rPr>
      <t xml:space="preserve">27,65 m²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GLP</t>
    </r>
    <r>
      <rPr>
        <sz val="9"/>
        <rFont val="Arial"/>
        <family val="2"/>
      </rPr>
      <t xml:space="preserve"> = (1,44m + 0,50m + 0,50m) x 0,71m - (0,64m x 0,64m x 02) = 1,73 m² - 0 = </t>
    </r>
    <r>
      <rPr>
        <b/>
        <sz val="9"/>
        <rFont val="Arial"/>
        <family val="2"/>
      </rPr>
      <t>1,73 m²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Parede no acesso coberto</t>
    </r>
    <r>
      <rPr>
        <sz val="9"/>
        <rFont val="Arial"/>
        <family val="2"/>
      </rPr>
      <t xml:space="preserve"> = 1,00m x (2,60m + 0,10m + 1,20m) = 1,00m x 3,90m = </t>
    </r>
    <r>
      <rPr>
        <b/>
        <sz val="9"/>
        <rFont val="Arial"/>
        <family val="2"/>
      </rPr>
      <t xml:space="preserve">3,90 m²                                                                                               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Platibanda </t>
    </r>
    <r>
      <rPr>
        <sz val="9"/>
        <rFont val="Arial"/>
        <family val="2"/>
      </rPr>
      <t xml:space="preserve">= 69,35 m x 1,20 m = 83,22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Total = 403,33 m²                                                                                                                                                                                                                        OBS.: Para os vãos de portas e janelas foram subtraídos somente o que excederam 2,00 m².</t>
    </r>
  </si>
  <si>
    <t>8.2</t>
  </si>
  <si>
    <t>Divisória de granito com 3 cm de espessura, assentada com argamassa de cimento e areia no traço 1:3, na cor cinza</t>
  </si>
  <si>
    <r>
      <t xml:space="preserve">WC masculino = (1,32m + 0,90m + 0,70m) x 1,80m - (0,60m x 1,60m) = 5,26m² - 0,96m² = 4,30 m²                                                                                                                                                                                                                    WC feminino = (1,32m + 1,32m + 0,90m + 0,90m) x 1,80m - (0,60m x 1,60m) x 02 = 7,99 m² - 1,92 m² = 6,07 m²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Total = 10,37 m²</t>
    </r>
  </si>
  <si>
    <r>
      <t xml:space="preserve">Paredes = 320,11 m² x 02 lados = 640,22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Tetos = 10,50 m² + 12,00 m² + 9,00 m² + 9,00 m² + 35,60 m² + 13,07 m² + 12,00 m² + 12,00 m² + 2,55 m² + 2,55 m² + 7,99 m² + 6,12 m² + 6,12 m² + 6,55 m² + 24,36 m² + 27,10 m² = 196,51 m²                                                                                                                                                      Platibanda = 69,35 m x 1,20 m x 02 lados = 166,44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Total = 640,22 m² + 196,51 m² + 166,44 m² = 1.003,17 m²</t>
    </r>
  </si>
  <si>
    <r>
      <t>WC PNE = (1,71m + 1,71m + 1,50m + 1,50m) x 2,60 m - (0,80m x 2,10m) - (1,45m x 0,50m) =  16,69 m² - 1,68 m² - 0,73 m² = 14,28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WC PNE = (1,71m + 1,71m + 1,50m + 1,50m) x 2,60 m - (0,80m x 2,10m) - (1,45m x 0,50m) =  16,69 m² - 1,68 m² - 0,73 m² = 14,28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Copa = (3,26m  + 0,15m + 3,26m + 2,45m + 2,45m) x 2,60 m - (1,45m x 1,00m) - (0,80m x 2,10m) x 02 - (1,40m x 1,10m) = 30,08 m² - 1,45 m² - 1,68 m² - 1,54 m² = 25,41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WC feminino = (2,81m + 2,81m + 2,18m + 2,18m) x 2,60 m - (0,80m x 2,10m) - (2,13 m x 0,50m) =  25,95 m² - 1,68 m² - 1,07 m² = 23,20 m²                                                                                                                                                                                                    WC masculino = (2,81m + 2,81m + 2,18m + 2,18m) x 2,60 m - (0,80m x 2,10m) - (2,13 m x 0,50m) =  25,95 m² - 1,68 m² - 1,07 m² = 23,20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Área de serviço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= (1,45m  + 0,15m + 1,45m + 4,50m) x 2,60m - (4,40 m x 0,50m) - (0,80m x 2,10m) = 19,63 m² - 2,20 m² - 1,68 m² = 15,75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Total = 14,28 m² + 14,28 m² + 25,41 m² + 23,20 m² + 23,20 m² + 15,75 m² = 116,12 m²</t>
    </r>
  </si>
  <si>
    <t>Reboco = Chapisco - emboço = 1.003,17 m² - 116,12 m² = 887,05 m²</t>
  </si>
  <si>
    <r>
      <t>Porta recepção = 2,00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Porta WC masculino = 0,80m                                                                                                                                                                                                                                                                                                                                   Porta WC feminino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= 0,80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Portas WC PNE = 0,80 m x 02 = 1,60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Porta copa = 0,80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Borda espaço externo coberto = 4,00 m + 2,80 m + 1,25 m = 8,05 m                                                                                                                                                                                                                                                                   Borda área de serviço coberta = 4,50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Total = 18,55 m  </t>
    </r>
    <r>
      <rPr>
        <sz val="9"/>
        <rFont val="Arial"/>
        <family val="2"/>
      </rPr>
      <t xml:space="preserve">       </t>
    </r>
  </si>
  <si>
    <t xml:space="preserve">Áreas retiradas em projeto = 10,50 m² + 12,00 m² + 9,00 m² + 9,00 m² + 35,60 m² + 13,07 m² + 12,00 m² + 12,00 m² + 2,55 m² + 2,55 m² + 7,99 m² + 6,12 m² + 6,55 m² + 24,36 m² + 27,10 m² = 196,51 m²      </t>
  </si>
  <si>
    <r>
      <t xml:space="preserve">Administração/Coordenação = 4,00m + 4,00m + 3,00m + 3,00m - 0,80 m = 13,20 m                                                                                                                                                                                                                               Sala Atividade Individual II = 3,00m + 3,00m + 3,00m + 3,00m - 0,80 m = 11,20 m                                                                                                                                                                Sala Atividade Individual I = 3,00m + 3,00m + 3,00m + 3,00m - 0,80 m = 11,20 m                                                                                                                                                                   Sala Multiuso = 8,00m + 8,00m + 4,00m + 4,00m - 1,20 m - 2,50 m = 20,30 m                                                                                                                            Espaço externo coberto =  4,15 m + 2,75 m -1,15 m - 0,80 m = 4,95 m                                                                                                                     Sala Atividade Familiar I = 3,00m + 3,00m + 4,00m + 4,00m - 0,80 m = 13,20 m                                                                                                                                                          Sala Atividade Familiar II = 3,00m + 3,00m + 4,00m + 4,00m - 0,80 m = 13,20 m                                                                              Circulação = 15,20m + 1,35m + 15,20m + 1,15m + 1,15m - (0,80m x 10) - (1,20m  x 02) = 34,05 m - 8,00 m - 2,40 m = 23,65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Receção = 1,45 m + 1,65 m + 3,15 m + 4,45 m - 0,80 m - 1,20 m - 2,00 m = 6,70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Total = 117,60 m</t>
    </r>
  </si>
  <si>
    <r>
      <rPr>
        <b/>
        <sz val="9"/>
        <rFont val="Arial"/>
        <family val="2"/>
      </rPr>
      <t>Piso alerta externo</t>
    </r>
    <r>
      <rPr>
        <sz val="9"/>
        <rFont val="Arial"/>
        <family val="2"/>
      </rPr>
      <t xml:space="preserve"> = (0,75m x 0,25m) + (0,75m x 0,75m) + (2,60m x 0,25m) + (1,34m x 0,25m) + (1,00m x 0,75m) + (0,75m x 0,25m) + (0,25m x 0,25 m) + (0,25m x 0,25m) + (1,25m x 0,25m) + (1,25m x 0,25m) + (0,25 m x 0,25m) + (1,25m x 0,25m)  = 0,19 m² + 0,56 m² + 0,65 m² + 0,34 m² + 0,75 m² + 0,19 m² + 0,06 m² + 0,06 m² + 0,31m² + 0,31 m² + 0,06 m² + 0,31 m² = 3,79 m²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Piso alerta calçada externa</t>
    </r>
    <r>
      <rPr>
        <sz val="9"/>
        <rFont val="Arial"/>
        <family val="2"/>
      </rPr>
      <t xml:space="preserve"> = (0,75 m x 0,50 m) + (0,40 m x 0,2 5m) + (0,75 m x 0,25 m) = 0,38 m² + 0,10 m² + 0,19 m² = 0,67 m²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Total = 4,46 m² </t>
    </r>
    <r>
      <rPr>
        <sz val="9"/>
        <rFont val="Arial"/>
        <family val="2"/>
      </rPr>
      <t xml:space="preserve">           </t>
    </r>
  </si>
  <si>
    <r>
      <rPr>
        <b/>
        <sz val="9"/>
        <rFont val="Arial"/>
        <family val="2"/>
      </rPr>
      <t>Piso direcional externo</t>
    </r>
    <r>
      <rPr>
        <sz val="9"/>
        <rFont val="Arial"/>
        <family val="2"/>
      </rPr>
      <t xml:space="preserve"> = (2,07 m + 0,15 m + 1,00 m + 1,35 m + 5,00 m + 25,65 m + 1,95 m + 0,55 m + 0,50 m) x 0,25 m  = 38,22 m x 0,25 m = 9,56 m²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Piso direcional calçada externa</t>
    </r>
    <r>
      <rPr>
        <sz val="9"/>
        <rFont val="Arial"/>
        <family val="2"/>
      </rPr>
      <t xml:space="preserve"> = (7,75 m + 0,31 m + 29,49 m) x 0,25 m = 37,55 m x 0,25 m =  9,39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Total = 18,95 m² </t>
    </r>
    <r>
      <rPr>
        <sz val="9"/>
        <rFont val="Arial"/>
        <family val="2"/>
      </rPr>
      <t xml:space="preserve">           </t>
    </r>
  </si>
  <si>
    <t>Conforme projeto = 01 unidade</t>
  </si>
  <si>
    <t>Conforme projeto = 22 unidades</t>
  </si>
  <si>
    <t>Conforme projeto = 54 unidades</t>
  </si>
  <si>
    <t>Conforme projeto = 06 unidades</t>
  </si>
  <si>
    <t>Conforme projeto = 02 unidades</t>
  </si>
  <si>
    <t>Conforme projeto = 06 unidade</t>
  </si>
  <si>
    <t>Conforme projeto = 11 unidades</t>
  </si>
  <si>
    <t>Conforme projeto = 19 unidades</t>
  </si>
  <si>
    <t>Conforme projeto = 05 unidades</t>
  </si>
  <si>
    <t>Conforme projeto = 07 unidades</t>
  </si>
  <si>
    <r>
      <t xml:space="preserve">WC masculino = 0,95m x 0,55m = 0,53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WC feminino = 0,95m x 0,55m = 0,55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Copa = 1,50m x 0,55m = 0,83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Total = 1,89 m²</t>
    </r>
  </si>
  <si>
    <t>1,00 m x 0,60 m x 04 unidades = 2,40 m²</t>
  </si>
  <si>
    <r>
      <t xml:space="preserve">Retiradas em projeto (Platibanda planta de cobertura) = 4,80m + 5,61 m + 0,30 m + 4,65 m + 3,15m + 1,30m + 6,45 m + 9,79m + 12,35m + 1,00m + 6,15m + 1,00m + 3,30m + 2,50m + 1,80m = 64,15 m                                                                                                                                                                                Retiradas em projeto (caixa d'água) = 2,75 m + 2,75 m + 3,56 m + 3,56 m = 12,62 m                                                                                         </t>
    </r>
    <r>
      <rPr>
        <b/>
        <sz val="9"/>
        <rFont val="Arial"/>
        <family val="2"/>
      </rPr>
      <t>Total = 76,77 m</t>
    </r>
  </si>
  <si>
    <t>Instalação enterrada = 7,47 m + 17,39 m + 5,38 m + 5,71 m + 13,79 m = 49,74 metros</t>
  </si>
  <si>
    <t>05 descidas de 3,00 metros cada =  15,00 m / 3,00 m cada vara de eletroduto = 05 unidades</t>
  </si>
  <si>
    <t>Conforme projeto =  05 unidades</t>
  </si>
  <si>
    <t>INSTALAÇÃO DE TELEFONE E REDE LÓGICA</t>
  </si>
  <si>
    <t>Conforme projeto =  01 unidade</t>
  </si>
  <si>
    <t>Conforme projeto =  60,00 metros</t>
  </si>
  <si>
    <t>Conforme projeto = 7,80 m (caixa R1 até QG) + 20,00 m (caixa R1 até poste) =  27,80 metros</t>
  </si>
  <si>
    <t>Conforme projeto =  07 unidades</t>
  </si>
  <si>
    <t>Conforme projeto =  15 unidade</t>
  </si>
  <si>
    <t>Conforme projeto =  900,00 metros</t>
  </si>
  <si>
    <t>Reboco (paredes + tetos + platibanda) =  887,05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Reboco (tetos) = 196,51 m²                                                                                                                                                                                                           Total = Reboco (paredes + tetos + platibanda)  - Reboco (tetos) = 887,05 m² - 196,51 m² = 690,54 m²</t>
  </si>
  <si>
    <r>
      <t xml:space="preserve">PM-1 = 0,80 x 2,10 m x 12 unidades x 3 = 60,48 m²                                                                                                                                                                                                                   PM-2 = (2 x 0,60) x 2,10 m = 1,20 x 2,10 m x 04 unidades x 3 = 30,24 m²                                                                                                                                                                                                             PM-3 = 0,60 x 1,60 m x 03 unidades x 3 = 8,64 m²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Total = 99,36 m²</t>
    </r>
  </si>
  <si>
    <r>
      <t xml:space="preserve">PF-1 = 0,64 x 0,64 m x 02 unidades x 2 = 1,64 m²                                                                                                                                                                                                                   PF-2 = 0,84 x 0,84 m x 01 unidade x 2 = 1,41 m²                                                                                                                                                                                                             PF-3 = 0,90 x 2,10 m x 02 unidades x 2 = 7,56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Total = 10,61 m²</t>
    </r>
  </si>
  <si>
    <t>Áreas retiradas em projeto = 40,14m²+8,36m²+7,38m²+6,15m²+2,03m²+55,72m² = 119,78 m²</t>
  </si>
  <si>
    <t>LIMPEZA GERAL</t>
  </si>
  <si>
    <t>Área construída da obra = projeto = 220,89 m²</t>
  </si>
  <si>
    <t>Eng. Civil Crea-MG 57858/D Visto-ES 011/97</t>
  </si>
  <si>
    <t>PREFEITURA MUNICIPAL DE VARGEM ALTA</t>
  </si>
  <si>
    <t>Placa de obra nas dimensões de 2.0 x 4.0 m, padrão DER</t>
  </si>
  <si>
    <t>Barracão para almoxarifado área de 10.90m2, de chapa de compensado de 12mm e pontalete 8x8cm, piso cimentado e cobertura de telhas de fibrocimento de 6mm, incl. ponto de luz, conf. projeto (1 utilização)</t>
  </si>
  <si>
    <t>Locação de obra com gabarito de madeira</t>
  </si>
  <si>
    <t>Rede de água com padrão de entrada d'água diâm. 3/4", conf. espec. CESAN, incl. tubos e conexões para alimentação, distribuição, extravasor e limpeza, cons. o padrão a 25m, conf. projeto (1 utilização)</t>
  </si>
  <si>
    <t>Padrão de entrada de energia elétrica, monofásico, entrada aérea, a 2 fios, carga instalada em muro de 3500 até 9000W - 220/127V</t>
  </si>
  <si>
    <t>Fornecimento, dobragem e colocação em fôrma, de armadura CA-60 B fina, diâmetro de 4.0 a 7.0mm</t>
  </si>
  <si>
    <t>Fôrma de tábua de madeira de 2.5x30.0cm, levando-se em conta utilização 3 vezes (incluindo o material, corte, montagem, escoramento e desforma</t>
  </si>
  <si>
    <t>Fornecimento e aplicação de concreto USINADO Fck=25 MPa - considerando lançamento MANUAL para INFRA-ESTRUTURA (5% de perdas já incluído no custo)</t>
  </si>
  <si>
    <t>Fornecimento, dobragem e colocação em fôrma, de armadura CA-50 A grossa diâmetro de 12.5 a 25.0 mm (1/2 a 1")</t>
  </si>
  <si>
    <t>ARMAÇÃO DE LAJE DE UMA ESTRUTURA CONVENCIONAL DE CONCRETO ARMADO EM   EDIFICAÇÃO TÉRREA OU SOBRADO UTILIZANDO AÇO CA-60 DE 5,0 MM - MONTAG EM. AF_12/2015</t>
  </si>
  <si>
    <t>ARMAÇÃO DE LAJE DE UMA ESTRUTURA CONVENCIONAL DE CONCRETO ARMADO EM UMA EDIFICAÇÃO TÉRREA OU SOBRADO UTILIZANDO AÇO CA-50 DE 6,3 MM - MONTAG EM. AF_12/2015</t>
  </si>
  <si>
    <t>ARMAÇÃO DE LAJE DE UMA ESTRUTURA CONVENCIONAL DE CONCRETO ARMADO EM UMA EDIFICAÇÃO TÉRREA OU SOBRADO UTILIZANDO AÇO CA-50 DE 8,0 MM - MONTAG EM. AF_12/2015</t>
  </si>
  <si>
    <t>ARMAÇÃO DE LAJE DE UMA ESTRUTURA CONVENCIONAL DE CONCRETO ARMADO EM UMA EDIFICAÇÃO TÉRREA OU SOBRADO UTILIZANDO AÇO CA-50 DE 10,0 MM - MONTA GEM. AF_12/2015</t>
  </si>
  <si>
    <t>Marco de madeira de lei de 1ª (Peroba, Ipê, Angelim Pedra ou equivalente) com 15x3 cm de batente, nas dimensões de 0.60 x 2.10 m</t>
  </si>
  <si>
    <t>Porta em madeira de lei tipo angelim pedra ou equiv.c/enchimento em madeira 1a.qualidade esp. 30mm p/ pintura, inclusive alizares, dobradiças e fechadura externa em latão cromado LaFonte ou equiv., exclusive marco, nas dim.:0.60 x 2.10 m</t>
  </si>
  <si>
    <t>Janela tipo maxim-ar para vidro em alumínio anodizado natural, linha 25, completa, incl. puxador com tranca, caixilho, alizar e contramarco, exclusive vidro</t>
  </si>
  <si>
    <t>Janela de correr para vidro em alumínio anodizado cor natural, linha 25, completa, incl. puxador com tranca, alizar, caixilho e contramarco, exclusive vidro</t>
  </si>
  <si>
    <t>JOGO DE FERRAGENS CROMADAS PARA PORTA DE VIDRO TEMPERADO, UMA FOLHA COMPOSTO DE DOBRADICAS SUPERIOR E INFERIOR, TRINCO, FECHADURA, CONTRA FE CHADURA COM CAPUCHINHO SEM MOLA E PUXADOR. AF_01/2021</t>
  </si>
  <si>
    <t>INSTALAÇÃO DE VIDRO TEMPERADO, E = 10 MM, ENCAIXADO EM PERFIL U. AF_01/2021_P</t>
  </si>
  <si>
    <t>Portão de ferro de correr em barra chata, inclusive chumbamento</t>
  </si>
  <si>
    <t>Rufo de chapa metálica nº 26 com largura de 30 cm</t>
  </si>
  <si>
    <t>TUBO PVC, SÉRIE R, ÁGUA PLUVIAL, DN 100 MM, FORNECIDO E INSTALADO EM RAMAL DE ENCAMINHAMENTO. AF_12/2014</t>
  </si>
  <si>
    <t>Impermeabilização de estrutura com Sika Top 107 ou equivalente</t>
  </si>
  <si>
    <t>PROTEÇÃO MECÂNICA DE SUPERFICIE HORIZONTAL COM ARGAMASSA DE CIMENTO E AREIA, TRAÇO 1:3, E=4CM. AF_06/2018</t>
  </si>
  <si>
    <t>Alvenaria de blocos de concreto estrut. (9x19x39cm) cheios, com resistência mín. compr. 15MPa, assentados c/ arg. de cimento e areia no traço 1:4, esp. juntas 10mm e esp. da parede s/ revest. 9cm</t>
  </si>
  <si>
    <t>Chapisco de argamassa de cimento e areia média ou grossa lavada no traço 1:3, espessura 5mm, com utilização de impermeabilizante</t>
  </si>
  <si>
    <t>Emboço de argamassa de cimento, cal hidratada CH1 e areia média ou grossa lavada no traço 1:0.5:6, espessura 20 mm</t>
  </si>
  <si>
    <t>REVESTIMENTO CERÂMICO PARA PAREDES INTERNAS COM PLACAS TIPO ESMALTADA  EXTRA DE DIMENSÕES 20X20 CM APLICADAS EM AMBIENTES DE ÁREA MAIOR QUE 5 M² NA ALTURA INTEIRA DAS PAREDES. AF_06/2014</t>
  </si>
  <si>
    <t>MASSA ÚNICA, PARA RECEBIMENTO DE PINTURA, EM ARGAMASSA TRAÇO 1:2:8, PREPARO MANUAL, APLICADA MANUALMENTE EM FACES INTERNAS DE PAREDES, ESPES SURA DE 20MM, COM EXECUÇÃO DE TALISCAS. AF_06/2014</t>
  </si>
  <si>
    <t>Lastro regularizado e impermeabilizado de concreto não estrutural, espessura de 8 cm</t>
  </si>
  <si>
    <t>Soleira de granito esp. 2 cm e largura de 15 cm</t>
  </si>
  <si>
    <t>Piso de cimentado camurçado executado com argamassa de cimento e areia no traço 1:3, esp. 3.0cm</t>
  </si>
  <si>
    <t>Roda parede em granito cinza andorinha 7x2cm, com acabamento abaulado nos dois lados</t>
  </si>
  <si>
    <t>PISO DE BORRACHA PASTILHADO/FRISADO, ESPESSURA 7MM, ASSENTADO COM ARGA MASSA. AF_09/2020</t>
  </si>
  <si>
    <t>Padrão de entrada de energia elétrica, bifásico, entrada aérea, a 3 fios, carga instalada em muro de 9001 até 15000W - 220/127V</t>
  </si>
  <si>
    <t>Ponto padrão de luz no teto - considerando eletroduto PVC rígido de 3/4" inclusive conexões (4.5m), fio isolado PVC de 2.5mm2 (16.2m) e caixa PVC 4x4" (1 und)</t>
  </si>
  <si>
    <t>Ponto padrão de tomada 2 pólos mais terra - considerando eletroduto PVC rígido de 3/4" inclusive conexões (5.0m), fio isolado PVC de 2.5mm2 (16.5m) e caixa pvc 4x2" (1 und)</t>
  </si>
  <si>
    <t>Ponto padrão de tomada para ar refrigerado - considerando eletroduto PVC rígido de 3/4" inclusive conexões (6.0m), fio isolado PVC de 4.0mm2 (21.6m) e caixa PVC 4x2" (1 und)</t>
  </si>
  <si>
    <t>Ponto padrão de interruptor de 1 tecla intermediário - considerando eletroduto PVC rígido de 3/4" inclusive conexões (3.3m), fio isolado PVC de 2.5mm2 (15.8m) e caixa PVC 4x2" (1 und)</t>
  </si>
  <si>
    <t>Ponto padrão de interruptor de 2 teclas simples - considerando eletroduto PVC rígido de 3/4" inclusive conexões (3.3m), fio isolado PVC de 2.5mm2 (17.2m) e caixa PVC 4x2" (1 und)</t>
  </si>
  <si>
    <t>Ponto padrão de interruptor de 1 tecla paralelo - considerando eletroduto PVC rígido de 3/4" inclusive conexões (8.5m), fio isolado PVC de 2.5mm2 (28.8m) e caixa PVC 4x2" (1 und)</t>
  </si>
  <si>
    <t>Quadro distrib. energia, embutido ou semi embutido, capac. p/ 34 disj. DIN, c/barram trif. 100A barra. neutro e terra, fab. em chapa de aço 12 USG com porta, espelho, trinco com fechad ch yale, Ref. QDTN II-34DIN_x0002_CEMAR ou equiv</t>
  </si>
  <si>
    <t>Mini-Disjuntor tripolar 32 A, curva C - 5KA 220/127VCA (NBR IEC 60947-2), Ref. Siemens, GE, Schneider ou equivalente</t>
  </si>
  <si>
    <t>Mini-Disjuntor monopolar 80 A, curva C - 10KA 240VCA (NBR IEC 60947-2), Ref. Siemens, GE, Schneider ou equivalente</t>
  </si>
  <si>
    <t>LUMINÁRIA TIPO CALHA, DE SOBREPOR, COM 2 LÂMPADAS TUBULARES FLUORESCEN UN AS 170,34 TES DE 36 W, COM REATOR DE PARTIDA RÁPIDA - FORNECIMENTO E INSTALAÇÃO. AF_02/2020</t>
  </si>
  <si>
    <t>LUMINÁRIA TIPO CALHA, DE SOBREPOR, COM 2 LÂMPADAS TUBULARES FLUORESCENTES DE 18 W, COM REATOR DE PARTIDA RÁPIDA - FORNECIMENTO E INSTALAÇÃO. AF_02/2020</t>
  </si>
  <si>
    <t>11.16</t>
  </si>
  <si>
    <t>11.17</t>
  </si>
  <si>
    <t>11.18</t>
  </si>
  <si>
    <t>11.19</t>
  </si>
  <si>
    <t>11.20</t>
  </si>
  <si>
    <t>Tomada padrão brasileiro linha branca, NBR 14136 2 polos + terra 10A/250V, com placa 4x2"</t>
  </si>
  <si>
    <t>Tomada padrão brasileiro linha branca, NBR 14136 2 polos + terra 20A/250V, com placa 4x2"</t>
  </si>
  <si>
    <t>Interruptor de uma tecla simples 10A/250V, com placa 4x2"</t>
  </si>
  <si>
    <t>Interruptor de duas teclas simples 10A/250V, com placa 4x2"</t>
  </si>
  <si>
    <t>interruptor de três teclas simples 10A/250V, c/ placa 4x2"</t>
  </si>
  <si>
    <t>Interruptor de uma tecla paralelo 10A/250V, com placa 4x2"</t>
  </si>
  <si>
    <t>Fornecimento de grama tipo esmeralda em placas com espessura de 0.06 m, exclusive plantio</t>
  </si>
  <si>
    <t>Guarda corpo de tubo de ferro galvanizado, diâm. 3" e 2", h=0.8 m inclusive pintura a óleo ou esmalte</t>
  </si>
  <si>
    <r>
      <t xml:space="preserve">Rampa =  1,70 m + 0,80 m = 2,50 m                                                                                                                                                  Espaço externo coberto = 2,50 m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Total = 5,00 m</t>
    </r>
  </si>
  <si>
    <t>Limpeza geral da obra (edificação)</t>
  </si>
  <si>
    <t>Pintura com tinta látex PVA, marcas de referência Suvinil, Coral ou Metalatex, inclusive selador em paredes e forros, a três demãos</t>
  </si>
  <si>
    <t>Pintura com tinta acrílica, marcas de referência Suvinil, Coral ou Metalatex, inclusive selador acrílico, em paredes e forros, a três demãos</t>
  </si>
  <si>
    <t>Emassamento de paredes e forros, com duas demãos de massa acrílica, marcas de referência Suvinil, Coral ou Metalatex</t>
  </si>
  <si>
    <t>Pintura com tinta esmalte sintético, marcas de referência Suvinil, Coral ou Metalatex, a duas demãos, inclusive fundo anticorrosivo a uma demão, em metal</t>
  </si>
  <si>
    <t>Pintura com tinta esmalte sintético, marcas de referência Suvinil, Coral ou Metalatex, inclusive fundo branco nivelador, em madeira, a duas demãos</t>
  </si>
  <si>
    <t>Caixa para telefone padrão TELEMAR, dim. 1070 x 520 x 500 mm, com tampa de ferro tipo R2, assentada com argamassa de cimento, cal e areia</t>
  </si>
  <si>
    <t>QUADRO DE DISTRIBUICAO PARA TELEFONE N.3, 40X40X12CM EM CHAPA METALICA , DE EMBUTIR, SEM ACESSORIOS, PADRAO TELEBRAS, FORNECIMENTO E INSTALAÇ ÃO. AF_11/2019</t>
  </si>
  <si>
    <t>Eletroduto de PVC rígido roscável, diâm. 1" (32mm), inclusive conexões</t>
  </si>
  <si>
    <t>TAMPA PARA CAIXA TIPO R2 E R3, EM FERRO FUNDIDO, DIMENSÕES INTERNAS: 0,55 X 1,10 M - FORNECIMENTO E INSTALAÇÃO. AF_12/2020</t>
  </si>
  <si>
    <t>Reservatório de polietileno de 1000l, inclusive peça de madeira 6x16cm para apoio, exclusive flanges e torneira de bóia</t>
  </si>
  <si>
    <t>Ponto p/ válvula (mictório) inclusive válvula com acabamento marca de referência Pressmatic Docol, Mod. 17015106 e tubo de ligação p/mictório antivandalismo Pressmatic Mod. 00132606 marca de ref. Docol ou equivalente</t>
  </si>
  <si>
    <t>Vaso sanitário padrão popular completo com acessórios para ligação, marcas de referência Deca, Celite ou Ideal Standard, inclusive assento plástico</t>
  </si>
  <si>
    <t>Bancada de mármore esp. 3cm</t>
  </si>
  <si>
    <t>Cuba louça de embutir redonda, 30cm, L-41, completa, marcas de referência Deca, Celite ou Ideal Standard, incl. válvula e sifão, exclusive torneira</t>
  </si>
  <si>
    <t>Tanque em mármore sintético com 2 bojos, inclusive válvula e sifão em PVC</t>
  </si>
  <si>
    <t>Caixa de gordura simples de alv. bloco concr.9x19x39cm, dim.80x60cm e Hmáx=1m, com tampa em concr.esp.5cm, lastro concr.esp.10cm, revestida intern. c/ chapisco e reboco impermeab, escavação, reaterro e parede interna em concr.</t>
  </si>
  <si>
    <t>Cuba de aço inox n° 1(dim.460x300x150)mm, marcas de referência Franke, Strake, tramontina, inclusive válvula de metal 31/2" e sifão cromado 1 x 1/2", excl. torneira</t>
  </si>
  <si>
    <t>Torneira pressão cromada diâm. 1/2" para lavatório, marcas de referência Fabrimar, Deca ou Docol</t>
  </si>
  <si>
    <t>Torneira pressão cromada diam. 3/4" para uso geral, marcas de referência Fabrimar, Deca ou Docol</t>
  </si>
  <si>
    <t>SABONETEIRA DE PAREDE EM METAL CROMADO, INCLUSO FIXAÇÃO. AF_01/2020</t>
  </si>
  <si>
    <t>Espelho para banheiros espessura 4 mm, incluindo chapa compensada 10 mm, moldura de alumínio em perfil L 3/4", fixado com parafusos cromados</t>
  </si>
  <si>
    <t>4,00 metros comprimento x 2,00 metros de altura = 8,00 m²</t>
  </si>
  <si>
    <r>
      <t xml:space="preserve">Frente = 4,00 m (lateral esquerda) + 9,95 m + 4,00 (lateral direita) = 17,95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Fundos = 4,00 m (lateral esquerda) + 9,95 m + 4,00 (lateral direita) = 17,95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Lateral Direita = 4,00 m (frente) + 2,95 m + 21,80 m + 4,00 (fundos) = 32,75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Lateral Esquerda = 4,00 m (frente) + 2,95 m + 21,80 m + 4,00 (fundos) = 32,75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Total = 101,40 m</t>
    </r>
  </si>
  <si>
    <t>Quantitativos retirados no projeto estrutural = 90,20 Kg + 26,30 Kg + 157,70 Kg = 274,20 Kg - 10 % = 246,78 Kg, Quantitativos retirados no projeto estrutural = 6,70 Kg + 16,90 Kg = 23,60 Kg - 10 % = 21,24 Kg,                                       total= 246,78+21,24= 268,02 kg</t>
  </si>
  <si>
    <t>Quantitativos retirados no projeto estrutural = 116,10 Kg + 70,20 Kg = 186,30 Kg - 10 % = 167,67Kg, Quantitativos retirados no projeto estrutural = 102,20 Kg + 15,10 Kg + 498,80 Kg = 616,10 Kg - 10 % = 554,49 Kg,                                      total = 167,67+554,49= 722,16 kg</t>
  </si>
  <si>
    <t>Quantitativos retirados no projeto estrutural = 162,10 Kg + 32,80 Kg = 194,90 Kg - 10 % = 175,41Kg, Quantitativos retirados no projeto estrutural = 33,60 Kg + 67,10 Kg = 100,70 Kg - 10 % = 90,63 Kg, Quantitativos retirados no projeto estrutural = 56,10 Kg - 10 % = 50,49 Kg,                                                                    total= 175,41+90,63+50,49= 316,53 kg</t>
  </si>
  <si>
    <r>
      <t xml:space="preserve">Conforme projeto:                                                                                                                                                                                                           JA-2 = (2,00 x 1,10)m x 7 = 15,40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JA-4 = (1,40 x 1,10)m = 1,54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Total = 16,94 m², </t>
    </r>
    <r>
      <rPr>
        <sz val="9"/>
        <rFont val="Arial"/>
        <family val="2"/>
      </rPr>
      <t xml:space="preserve">Conforme projeto:                                                                                                                                                                                                                           JA-3 = (3,05 x 0,50)m = 1,53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JA-5 = (4,40 x 0,50)m = 2,20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Total = 3,73 m² , TOTAL= 20,67M²</t>
    </r>
  </si>
  <si>
    <r>
      <rPr>
        <b/>
        <sz val="9"/>
        <rFont val="Arial"/>
        <family val="2"/>
      </rPr>
      <t>Piso direcional interno</t>
    </r>
    <r>
      <rPr>
        <sz val="9"/>
        <rFont val="Arial"/>
        <family val="2"/>
      </rPr>
      <t xml:space="preserve"> = (1,35 m + 0,75m + 1,25m + 2,00m + 5,91m + 1,25m + 2,19m + 1,25m + 4,85m + 0,60m + 2,58m ) x 0,25 m = 23,98 m x 0,25 m =</t>
    </r>
    <r>
      <rPr>
        <b/>
        <sz val="9"/>
        <rFont val="Arial"/>
        <family val="2"/>
      </rPr>
      <t xml:space="preserve"> 6,00 m</t>
    </r>
    <r>
      <rPr>
        <sz val="9"/>
        <rFont val="Arial"/>
        <family val="2"/>
      </rPr>
      <t xml:space="preserve">², </t>
    </r>
    <r>
      <rPr>
        <b/>
        <sz val="9"/>
        <rFont val="Arial"/>
        <family val="2"/>
      </rPr>
      <t>Piso alerta interno =</t>
    </r>
    <r>
      <rPr>
        <sz val="9"/>
        <rFont val="Arial"/>
        <family val="2"/>
      </rPr>
      <t xml:space="preserve"> (0,75m x 0,25m) + (0,75m x 0,25m) + (0,25m x 0,25m) + (0,25m x 0,25m) + (0,75m x 0,25m) + (0,75m x 0,25m) + (0,75m x 0,25m) + (0,25m x 0,25m)  + (1,25m x 0,25m) + (0,25m x 0,25m) +  (0,75m x 0,25m) + (0,75m x 0,75m) + (0,50m x 0,75m) + (075m x 0,75m) + (2,75m x 0,25m) = 0,19 m² + 0,19 m² + 0,06 m² + 0,06 m² + 0,19 m² + 0,19 m² + 0,19 m² + 0,06 m² + 0,31 m² + 0,06 m² + 0,19 m² + 0,56 m² + 0,38 m² + 0,56 m² + 0,69 m² = </t>
    </r>
    <r>
      <rPr>
        <b/>
        <sz val="9"/>
        <rFont val="Arial"/>
        <family val="2"/>
      </rPr>
      <t xml:space="preserve">3,88 m²  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</si>
  <si>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Administração/Coordenação</t>
    </r>
    <r>
      <rPr>
        <sz val="9"/>
        <rFont val="Arial"/>
        <family val="2"/>
      </rPr>
      <t xml:space="preserve"> = (4,00m + 4,00m + 3,00m + 3,00m) x 2,60m  - (0,80m x 2,10m) -(2,00 m x 1,10m) = 36,40 m² -  1,68 m² - 2,20 m² = </t>
    </r>
    <r>
      <rPr>
        <b/>
        <sz val="9"/>
        <rFont val="Arial"/>
        <family val="2"/>
      </rPr>
      <t xml:space="preserve">32,52 m²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Sala Atividade Individual II </t>
    </r>
    <r>
      <rPr>
        <sz val="9"/>
        <rFont val="Arial"/>
        <family val="2"/>
      </rPr>
      <t xml:space="preserve">= (3,00m + 3,00m + 3,00m + 3,00m) x 2,60m  - (0,80m x 2,10m) - (2,00 m x 1,10m) = 31,20 m² - 1,68 m² - 2,20 m² = </t>
    </r>
    <r>
      <rPr>
        <b/>
        <sz val="9"/>
        <rFont val="Arial"/>
        <family val="2"/>
      </rPr>
      <t xml:space="preserve">27,32 m²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Sala Atividade Individual I</t>
    </r>
    <r>
      <rPr>
        <sz val="9"/>
        <rFont val="Arial"/>
        <family val="2"/>
      </rPr>
      <t xml:space="preserve"> = (3,00m + 3,00m + 3,00m + 3,00m) x 2,60m  - (0,80m x 2,10m) - (2,00 m x 1,10m) = 31,20 m² - 1,68 m² - 2,20 m² = </t>
    </r>
    <r>
      <rPr>
        <b/>
        <sz val="9"/>
        <rFont val="Arial"/>
        <family val="2"/>
      </rPr>
      <t xml:space="preserve">27,32 m²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Sala Multiuso</t>
    </r>
    <r>
      <rPr>
        <sz val="9"/>
        <rFont val="Arial"/>
        <family val="2"/>
      </rPr>
      <t xml:space="preserve"> = (8,90m + 8,90m + 4,15m + 4,15m) x 2,60m  - (2,00 m x 1,10m) - (2,00 m x 1,10m) - (1,20 m x 2,10m) - (2,50 m x 2,10m) = 67,86 m² - 2,20 m² - 2,20 m² - 2,52 m² - 5,25 m² = </t>
    </r>
    <r>
      <rPr>
        <b/>
        <sz val="9"/>
        <rFont val="Arial"/>
        <family val="2"/>
      </rPr>
      <t xml:space="preserve">55,69 m² </t>
    </r>
    <r>
      <rPr>
        <sz val="9"/>
        <rFont val="Arial"/>
        <family val="2"/>
      </rPr>
      <t xml:space="preserve">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Circulação </t>
    </r>
    <r>
      <rPr>
        <sz val="9"/>
        <rFont val="Arial"/>
        <family val="2"/>
      </rPr>
      <t xml:space="preserve">= 1,35 m x 2,60 m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+  (15,20 m x 2,60 m) x 02 lados + 1,15 m x 2,60 m x 02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(1,15m x 2,00m) - (0,80m x 2,10m x 08) - (1,20m x 2,10 m x 02) - (1,45m x 1,00m) = 3,51 m² + 79,04 m² + 5,98 m² - 2,30 m² - 13,44 m² - 5,04 m² - 1,45 m² =  </t>
    </r>
    <r>
      <rPr>
        <b/>
        <sz val="9"/>
        <rFont val="Arial"/>
        <family val="2"/>
      </rPr>
      <t>66,30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m²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Sala Atividade Familiar I</t>
    </r>
    <r>
      <rPr>
        <sz val="9"/>
        <rFont val="Arial"/>
        <family val="2"/>
      </rPr>
      <t xml:space="preserve"> = (4,00m + 4,00m + 3,00m + 3,00m) x 2,60m  - (0,80m x 2,10m) - (2,00 m x 1,10m) = 36,40 m² - 1,68 m² - 2,20 m² = </t>
    </r>
    <r>
      <rPr>
        <b/>
        <sz val="9"/>
        <rFont val="Arial"/>
        <family val="2"/>
      </rPr>
      <t xml:space="preserve">32,52 m²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Sala Atividade Familiar II</t>
    </r>
    <r>
      <rPr>
        <sz val="9"/>
        <rFont val="Arial"/>
        <family val="2"/>
      </rPr>
      <t xml:space="preserve"> = (4,00m + 4,00m + 3,00m + 3,00m) x 2,60m  - (0,80m x 2,10m) - (2,00 m x 1,10m) = 36,40 m² - 1,68 m² - 2,20 m² = </t>
    </r>
    <r>
      <rPr>
        <b/>
        <sz val="9"/>
        <rFont val="Arial"/>
        <family val="2"/>
      </rPr>
      <t xml:space="preserve">32,52 m²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Recepção </t>
    </r>
    <r>
      <rPr>
        <sz val="9"/>
        <rFont val="Arial"/>
        <family val="2"/>
      </rPr>
      <t>= (5,46m + 1,65m + 3,15m + 4,45m) x 2,60m  - (1,20m x 2,10m) - (0,80m x 2,10m) - (1,65m x 2,00m) - (2,00 m x 2,10m)  = 38,25 m² - 2,52 m² - 1,68 m² - 3,30 m² - 4,20 m² =</t>
    </r>
    <r>
      <rPr>
        <b/>
        <sz val="9"/>
        <rFont val="Arial"/>
        <family val="2"/>
      </rPr>
      <t xml:space="preserve"> 26,55 m²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Total = 300,74 m²     Áreas retiradas em projeto = </t>
    </r>
    <r>
      <rPr>
        <sz val="9"/>
        <rFont val="Arial"/>
        <family val="2"/>
      </rPr>
      <t>10,50 m² + 12,00 m² + 9,00 m² + 9,00 m² + 35,60 m² + 13,07 m² + 12,00 m² + 12,00 m² + 2,55 m² + 2,55 m² + 7,99 m² + 6,12 m² + 6,55 m² + 24,36 m² + 27,10 m²</t>
    </r>
    <r>
      <rPr>
        <b/>
        <sz val="9"/>
        <rFont val="Arial"/>
        <family val="2"/>
      </rPr>
      <t xml:space="preserve"> = 196,51 m²  TOTAL= 300,74+196,51=    497,25 M²                                                                                                                                                                                                                 </t>
    </r>
  </si>
  <si>
    <t>Vaso sanitário sifonado convencional para PCD com furo central com louça branca sem assento, incluso conjunto de ligação para bacia sanitária ajustável - Fornecimento e instalação. AF-01/2020</t>
  </si>
  <si>
    <t>Papeleira de parede em metal cromado sem tampa, incluso fixação. AF-01/2020.</t>
  </si>
  <si>
    <t>Porta toalha rosto em metal cromado, tipo argola, incluso fixação. AF-01/2020.</t>
  </si>
  <si>
    <t>Mictório de louça branca, marcas de referência Deca, Celite ou Ideal Standard, inclusive engates cromados</t>
  </si>
  <si>
    <t>11.21</t>
  </si>
  <si>
    <t>Conforme projeto = 13 unidades</t>
  </si>
  <si>
    <t>11.22</t>
  </si>
  <si>
    <t>Conforme projeto = 3,00 unidades</t>
  </si>
  <si>
    <t>Conforme projeto = 2,00 unidades</t>
  </si>
  <si>
    <t>Conforme projeto = 10,00 unidades</t>
  </si>
  <si>
    <t>Conforme projeto = 6,00 unidades</t>
  </si>
  <si>
    <t>Conforme projeto = 55,00 unidades</t>
  </si>
  <si>
    <t>GERALDO BRUNORO ESTEVES</t>
  </si>
  <si>
    <t>ENGENHEIRO CIVIL - CREA ES 33738/D</t>
  </si>
  <si>
    <t xml:space="preserve">Fonte de Referência: IOPES/ SINAPI - Data base: Novembro/2021 </t>
  </si>
  <si>
    <t>GERALDO BRUNORO ESTEVES                                                          ELIESER RABELLO</t>
  </si>
  <si>
    <t>ENGENHEIRO CIVIL - CREA ES 33738/D                                           PREFEITO MUNICIPAL</t>
  </si>
  <si>
    <t>GERALGO BRUNORO ESTEVES</t>
  </si>
  <si>
    <t>ELIESER RABELLO</t>
  </si>
  <si>
    <t>PREFEITO MUNICIPAL</t>
  </si>
  <si>
    <t xml:space="preserve">ENGENHEIRO CIVIL - CREA ES 33738/D    </t>
  </si>
  <si>
    <t>SITE</t>
  </si>
  <si>
    <t>COTAÇÃO 1</t>
  </si>
  <si>
    <t>COTAÇÃO 2</t>
  </si>
  <si>
    <t>COTAÇÃO 3</t>
  </si>
  <si>
    <t>https://www.unicaserv.com.br/mini-rack-12u-x-470mm</t>
  </si>
  <si>
    <t>UNICASERV</t>
  </si>
  <si>
    <t>https://www.upperseg.com.br/cftv/rack-organizador/rack-horizontal/rack-19-para-parede-12u-x-470mm-com-porta-frontal-acrilica/</t>
  </si>
  <si>
    <t>UPPERSEG</t>
  </si>
  <si>
    <t>https://www.centralcabos.com.br/mini-rack-de-parede-12u/p</t>
  </si>
  <si>
    <t>CENTRAL CABOS</t>
  </si>
  <si>
    <t>VALOR MÉDIO= (650,85+522,41+539)/3</t>
  </si>
  <si>
    <t xml:space="preserve">VALOR TOTAL DA OBRA </t>
  </si>
  <si>
    <t>PREFEITURA MUNICIPAL DE VARGEM ALTA
ESTADO DO ESPÍRITO SANTO</t>
  </si>
  <si>
    <t xml:space="preserve">CRONOGRAMA </t>
  </si>
  <si>
    <t>Prefeitura Municipal de Vargem Alta</t>
  </si>
  <si>
    <t>FÍSICO</t>
  </si>
  <si>
    <t>FINANCEIRO</t>
  </si>
  <si>
    <t>VARGEM ALTA ES</t>
  </si>
  <si>
    <t xml:space="preserve"> </t>
  </si>
  <si>
    <t>Item</t>
  </si>
  <si>
    <t>Serviços</t>
  </si>
  <si>
    <t>Valor</t>
  </si>
  <si>
    <t>Inc.</t>
  </si>
  <si>
    <t>Prazo em dias</t>
  </si>
  <si>
    <t>Valor Total dos</t>
  </si>
  <si>
    <t>30 dias</t>
  </si>
  <si>
    <t>Valor das Parcelas</t>
  </si>
  <si>
    <t>Valor Acumulado</t>
  </si>
  <si>
    <t xml:space="preserve">Responsável Técnico: </t>
  </si>
  <si>
    <t>Administração:</t>
  </si>
  <si>
    <t>ENGENHEIRO CIVIL CREA-ES 33738/D</t>
  </si>
  <si>
    <t>Prefeito Municipal</t>
  </si>
  <si>
    <t>Prazo: 360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</si>
  <si>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</si>
  <si>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</si>
  <si>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</si>
  <si>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</si>
  <si>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</si>
  <si>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</si>
  <si>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</si>
  <si>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</si>
  <si>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300 dias</t>
  </si>
  <si>
    <t>330dias</t>
  </si>
  <si>
    <t>360dias</t>
  </si>
  <si>
    <t>COMPOSIÇÃO DE CUSTO</t>
  </si>
  <si>
    <r>
      <t>SERVIÇO:</t>
    </r>
    <r>
      <rPr>
        <sz val="9"/>
        <rFont val="Arial"/>
        <family val="2"/>
      </rPr>
      <t xml:space="preserve"> Administração Local.</t>
    </r>
  </si>
  <si>
    <t>(A) Equipamento</t>
  </si>
  <si>
    <t>Código</t>
  </si>
  <si>
    <t>CT</t>
  </si>
  <si>
    <t>Ut.Pr</t>
  </si>
  <si>
    <t>Ut. Imp</t>
  </si>
  <si>
    <t>Val. Hr. Prod</t>
  </si>
  <si>
    <t>Val. Hr Imp.</t>
  </si>
  <si>
    <t>Consumo</t>
  </si>
  <si>
    <t>Custo Horário</t>
  </si>
  <si>
    <t xml:space="preserve">(A) Total </t>
  </si>
  <si>
    <t>(B) Mão-de-obra</t>
  </si>
  <si>
    <t>Sal/Hora</t>
  </si>
  <si>
    <t>Coeficiente</t>
  </si>
  <si>
    <t>ENGENHEIRO CIVIL DE OBRA JÚNIOR</t>
  </si>
  <si>
    <t>ENCARREGADO GERAL DE OBRAS</t>
  </si>
  <si>
    <t>(B) Total</t>
  </si>
  <si>
    <t xml:space="preserve">Custo Direto Total (A) + (B)   </t>
  </si>
  <si>
    <t xml:space="preserve">PREÇO UNITÁRIO </t>
  </si>
  <si>
    <t>Vargem Alta - ES</t>
  </si>
  <si>
    <t>ELIEZER RABELLO</t>
  </si>
  <si>
    <t>H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</si>
  <si>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Calçadas internas = 43,17 m² + 34,01 m² + 12,44 m² + 14,71 m² + 21,44 m² = 125,77 m²                                                                                                                        Calçada externa = (29,49 m + 0,75 m + 7,75 m) x 1,50 m = 37,99 m x 1,50 m = 56,99 m²                                                                                                                                 Ladrilho direcional + ladrilho alerta calçadas = 4,46 m² + 18,95 m² = 23,41 m²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Total = 182,76 m² - 23,41 m² = 159,35 m² </t>
    </r>
  </si>
  <si>
    <t>Vargem Alta -ES, 24 de Janeiro de 2022</t>
  </si>
  <si>
    <t>VARGEM ALTA. 24 DE JANEIRO DE 2022</t>
  </si>
  <si>
    <t>Data: 24/01/2022</t>
  </si>
  <si>
    <t>Prefeitura de Vargem Alta</t>
  </si>
  <si>
    <t>Sem Desoneração</t>
  </si>
  <si>
    <t xml:space="preserve">Administração Central </t>
  </si>
  <si>
    <t>Administração Local</t>
  </si>
  <si>
    <t>Riscos, Garantias e Seguros</t>
  </si>
  <si>
    <t>Custos Financeiros</t>
  </si>
  <si>
    <t xml:space="preserve">Lucro </t>
  </si>
  <si>
    <t>Percentual da base de cálculo para o ISS:</t>
  </si>
  <si>
    <t>Alíquota do ISS (sobre a base de cálculo):</t>
  </si>
  <si>
    <t>ISSQN</t>
  </si>
  <si>
    <t>BDI=</t>
  </si>
  <si>
    <t>do ISS para Edificações é de 100 %, com a respectiva alíquota de 5  %</t>
  </si>
  <si>
    <t xml:space="preserve">Declaro para os devidos fins que o regime de Contribuição Previdenciária adotado para </t>
  </si>
  <si>
    <t xml:space="preserve">elaboração do orçamento foi Sem Desoneração, e que esta é a alternativa mais adequada para </t>
  </si>
  <si>
    <t xml:space="preserve">a Administração Pública.    </t>
  </si>
  <si>
    <t>Eng./Arq.</t>
  </si>
  <si>
    <t>CREA/CAU:</t>
  </si>
  <si>
    <t>CREA - ES 033738/D</t>
  </si>
  <si>
    <t>Nome</t>
  </si>
  <si>
    <t>Cargo</t>
  </si>
  <si>
    <t xml:space="preserve"> 100651 </t>
  </si>
  <si>
    <t>ESTACA HÉLICE CONTÍNUA, DIÂMETRO DE 30 CM, INCLUSO CONCRETO FCK=30MPA  E ARMADURA MÍNIMA (EXCLUSIVE MOBILIZAÇÃO, DESMOBILIZAÇÃO E BOMBEAMENTO ). AF_12/2019</t>
  </si>
  <si>
    <t>30 estacas x 10 metros= 300 metros</t>
  </si>
  <si>
    <t>Quantitativos retirados no projeto estrutural para fazer o serviço do bloco de coroamento e saidas dos pilares e cintamento= 49,95+213,28+80,40= 343,63 m²</t>
  </si>
  <si>
    <t>Quantitativos retirados no projeto estrutural = 52,70+153,00+67,00=272,70kg</t>
  </si>
  <si>
    <t>Quantitativos retirados no projeto estrutural = 8,90+23,90+37,60=70,40m²</t>
  </si>
  <si>
    <t>Quantitativos retirados no projeto estrutural = 133,80+135,50+351,30+145+77,50+26,50= 869,6kg</t>
  </si>
  <si>
    <t>Quantitativos retirados no projeto estrutural = 4,13m³ + 13,91 m³ + 5,24 m³ = 23,28m³</t>
  </si>
  <si>
    <t>4.10</t>
  </si>
  <si>
    <t>8.4</t>
  </si>
  <si>
    <t>9.5</t>
  </si>
  <si>
    <t>9.6</t>
  </si>
  <si>
    <t>9.7</t>
  </si>
  <si>
    <t>9.8</t>
  </si>
  <si>
    <t>9.9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</si>
  <si>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</si>
  <si>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</si>
  <si>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</si>
  <si>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</si>
  <si>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</si>
  <si>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</si>
  <si>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</si>
  <si>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</si>
  <si>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</si>
  <si>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</si>
  <si>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</si>
  <si>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</si>
  <si>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</si>
  <si>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11.23</t>
  </si>
  <si>
    <t>11.24</t>
  </si>
  <si>
    <t>11.25</t>
  </si>
  <si>
    <t>11.26</t>
  </si>
  <si>
    <t>11.27</t>
  </si>
  <si>
    <t>13.7</t>
  </si>
  <si>
    <t>13.8</t>
  </si>
  <si>
    <t>13.9</t>
  </si>
  <si>
    <t>13.10</t>
  </si>
  <si>
    <t>13.11</t>
  </si>
  <si>
    <t>13.12</t>
  </si>
  <si>
    <t xml:space="preserve">Fonte de Referência: IOPES/SINAPI  - Data base: Novembro/2021 </t>
  </si>
  <si>
    <t>Leis Sociais: 157,27%                 BDI= 31,96%</t>
  </si>
  <si>
    <r>
      <t xml:space="preserve">Áreas retiradas em projeto: Interno = 10,50m² + 12,00m² + 9,00m² + 9,00m² + 35,60m² + 13,07m² + 12,00 m² + 12,00m² + 2,55m² + 2,55m² + 7,99m² + 6,12m² + 6,55m² + 24,36m²  + 27,10m² = 196,51m²                                                                                                                                                                                                                                                                                                                                                      Calçadas internas = 43,17 m² + 34,01 m² + 12,44 m² + 14,71 m² + 21,44 m² = 125,77 m²                                                                                                            Calçada externa = (29,49 m + 0,75 m + 7,75 m) x 1,50 m = 37,99 m x 1,50 m = 56,99 m²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Total = 379,27 m²   </t>
    </r>
    <r>
      <rPr>
        <sz val="9"/>
        <rFont val="Arial"/>
        <family val="2"/>
      </rPr>
      <t xml:space="preserve"> </t>
    </r>
  </si>
  <si>
    <t>SERVIÇOS COMPLEMENTARES EXTERNOS</t>
  </si>
  <si>
    <t>Muro de alvenaria de blocos cerâmicos 10x20x20cm, c/ pilares a cada 2 m, esp. 10cm e h=2.5m, revestido com chapisco, reboco e pintura acrílica a 2 demãos, incl. pilares, cintas e sapatas, empregando arg. cimento cal e areia</t>
  </si>
  <si>
    <t>Meio-fio de concreto pré-moldado com dimensões de 15x12x30x100 cm , rejuntados com argamassa de cimento e areia no traço 1:3</t>
  </si>
  <si>
    <t>Blocos pré-moldados de concreto tipo pavi-s ou equivalente, espessura de 8 cm e resistência a compressão mínima de 35MPa, assentados sobre colchão de pó de pedra na espessura de 10 cm</t>
  </si>
  <si>
    <t>Passeio de cimentado camurçado com argamassa de cimento e areia no traço 1:3 esp. 1.5cm, e lastro de concreto com 8cm de espessura, inclusive preparo de caixa</t>
  </si>
  <si>
    <t>Fornecimento e assentamento de ladrilho hidráulico pastilhado, vermelho, dim. 20x20 cm, esp. 1.5cm, assentado com pasta de cimento colante, exclusive regularização e lastro</t>
  </si>
  <si>
    <t>16.2</t>
  </si>
  <si>
    <t>16.3</t>
  </si>
  <si>
    <t>16.4</t>
  </si>
  <si>
    <t>16.5</t>
  </si>
  <si>
    <t>16.6</t>
  </si>
  <si>
    <t xml:space="preserve">Muro frontal e lateral esquerdo para instalação do gradil= 32,21 m            </t>
  </si>
  <si>
    <t xml:space="preserve">Rua projetada= 499,19 m²,                                                                                        Entrada=162,89 m²                                                                  Total=499,19+162,89=662,08m² </t>
  </si>
  <si>
    <t>Total= (29,01x1,80)+(20,26x1,80)+(59,15x1,80)+2,94=198,08 m²</t>
  </si>
  <si>
    <t>Total= (29,01+20,26+59,15+1,64) x 0,20= 22,01 m²</t>
  </si>
  <si>
    <t>Rua projetada= 4,58+56,67+59,14+59,14=179,53 m, Entrada=5,40+1,64+29,01+4,49+29,01=69,55 m                        Total=179,53+69,55=249,08m</t>
  </si>
  <si>
    <t>8.5</t>
  </si>
  <si>
    <t>Forro de gesso acabamento tipo liso</t>
  </si>
  <si>
    <t xml:space="preserve">110201 </t>
  </si>
  <si>
    <t>DER-ES</t>
  </si>
  <si>
    <t>M2</t>
  </si>
  <si>
    <t>Porcelanato polido, acabamento acetinado, dim. 60x60cm, ref. de cor CIMENTO CINZA BOLD Potobello/equiv, utilizando dupla colagem de argamassa colante para porcelanato tipo ACIII e rejunte 1mm para porcelanato</t>
  </si>
  <si>
    <t>Telha em aço galvalume trapezoidal 40, e=0.50mm, pintura cor branca nas duas faces, inclusive acessório
de fixação Ref. Santo André, Eternit, Metform ou equivalente</t>
  </si>
  <si>
    <t>Placa para inauguração de obra em alumínio polido e=4mm, dimensões 40 x 50 cm, gravação em baixo
relevo, inclusive pintura e fixação</t>
  </si>
  <si>
    <t>15.3</t>
  </si>
  <si>
    <t>Gradil H = 1.90m padrão SEDU em tubo de FG 31/2" e barra chata de 2"x1/4" para fixação sobre mureta conforme projeto, exclusive a mureta</t>
  </si>
  <si>
    <t>Banco de concreto armado aparente Fck=15 MPa, com apoios de concreto, largura de 45cm, espessura de 7cm e altura de 45cm</t>
  </si>
  <si>
    <t>Estrutura de madeira de lei Paraju, peroba mica, angelim pedra ou equivalente para telhado de telha cerâmica tipo francesa, com pontaletes, terças, caibros e ripas, inclusive tratamento com cupunicida, exclusive telhas</t>
  </si>
  <si>
    <t>090105</t>
  </si>
  <si>
    <t>Muro fontal = 10,75 m, Muro lateral direito= 15,01 m, Muro lateral esquerdo= 1,60 m, Muro dos fundos = 5,21 + 19,60 m, Muro frontal e lateral esquerdo para instalação do gradil= 7,80 m                                                                                          Total = 10,75+15,01+1,60+5,21+ 19,60 +7,80= 59,97 m</t>
  </si>
  <si>
    <t>15.4</t>
  </si>
  <si>
    <t>1,00 undiade</t>
  </si>
  <si>
    <t>6 bancos de 1,50 m  = 9,00 m</t>
  </si>
  <si>
    <t xml:space="preserve">Áreas retiradas em projeto = 10,50 m² + 12,00 m² + 9,00 m² + 9,00 m² + 35,60 m² + 13,07 m² + 12,00 m² + 12,00 m² + 2,55 m² + 2,55 m² + 7,99 m² + 6,12 m² + 6,55 m² + 24,36 m² + 27,10 m² = 196,51 m²    </t>
  </si>
  <si>
    <t>WC PNE = (1,71m + 1,71m + 1,50m + 1,50m) x 2,60 m - (0,80m x 2,10m) - (1,45m x 0,50m) =  16,69 m² - 1,68 m² - 0,73 m² = 14,28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WC PNE = (1,71m + 1,71m + 1,50m + 1,50m) x 2,60 m - (0,80m x 2,10m) - (1,45m x 0,50m) =  16,69 m² - 1,68 m² - 0,73 m² = 14,28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Copa = (3,26m  + 0,15m + 3,26m + 2,45m + 2,45m) x 2,60 m - (1,45m x 1,00m) - (0,80m x 2,10m) x 02 - (1,40m x 1,10m) = 30,08 m² - 1,45 m² - 1,68 m² - 1,54 m² = 25,41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WC feminino = (2,81m + 2,81m + 2,18m + 2,18m) x 2,60 m - (0,80m x 2,10m) - (2,13 m x 0,50m) =  25,95 m² - 1,68 m² - 1,07 m² = 23,20 m²                                                                                                                                                                                                    WC masculino = (2,81m + 2,81m + 2,18m + 2,18m) x 2,60 m - (0,80m x 2,10m) - (2,13 m x 0,50m) =  25,95 m² - 1,68 m² - 1,07 m² = 23,20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Área de serviço = (1,45m  + 0,15m + 1,45m + 4,50m) x 2,60m - (4,40 m x 0,50m) - (0,80m x 2,10m) = 19,63 m² - 2,20 m² - 1,68 m² = 15,75 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 = 14,28 m² + 14,28 m² + 25,41 m² + 23,20 m² + 23,20 m² + 15,75 m² = 116,12 m² + 285 m² de revestimento externo. total: 401,12</t>
  </si>
  <si>
    <t>Tapume Telha Metálica Ondulada em aço galvalume 0,50mm Branca h=2,20m, incl. montagem estr. mad.
8"x8", c/adesivo "DER-ES" 60x60cm a cada 10m, incl. faixas pint. esmalte sint. cores azul c/ h=30cm e rosa
c/ h=10cm (Reaproveitamento 2x)</t>
  </si>
  <si>
    <t>PREENCHER A ABA "P. UNIT." COM VALORES CONTENDO SOMENTE DUAS CASAS DECIMAIS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</si>
</sst>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000_);_(* \(#,##0.000000\);_(* &quot;-&quot;??_);_(@_)"/>
    <numFmt numFmtId="173" formatCode="#,##0.00\ ;\-#,##0.00\ ;&quot; -&quot;00\ ;@\ 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0_);\(0.00\)"/>
    <numFmt numFmtId="179" formatCode="[$-416]dddd\,\ d&quot; de &quot;mmmm&quot; de &quot;yyyy"/>
    <numFmt numFmtId="180" formatCode="0.00_ ;\-0.00\ "/>
    <numFmt numFmtId="181" formatCode="#,##0.00_ ;\-#,##0.00\ "/>
    <numFmt numFmtId="182" formatCode="#,##0.0000"/>
    <numFmt numFmtId="183" formatCode="#,##0.0"/>
    <numFmt numFmtId="184" formatCode="00000"/>
    <numFmt numFmtId="185" formatCode="#,##0.000"/>
    <numFmt numFmtId="186" formatCode="0.000000"/>
    <numFmt numFmtId="187" formatCode="0.000000000"/>
    <numFmt numFmtId="188" formatCode="0.0000"/>
    <numFmt numFmtId="189" formatCode="0.000"/>
    <numFmt numFmtId="190" formatCode="#,##0.000_);\(#,##0.000\)"/>
    <numFmt numFmtId="191" formatCode="#,##0.0000_);\(#,##0.0000\)"/>
    <numFmt numFmtId="192" formatCode="_(* #,##0.0000000_);_(* \(#,##0.0000000\);_(* &quot;-&quot;???????_);_(@_)"/>
    <numFmt numFmtId="193" formatCode="_(* #,##0.00000_);_(* \(#,##0.00000\);_(* &quot;-&quot;?????_);_(@_)"/>
    <numFmt numFmtId="194" formatCode="0.0"/>
    <numFmt numFmtId="195" formatCode="_(&quot;R$ &quot;* #,##0.000_);_(&quot;R$ &quot;* \(#,##0.000\);_(&quot;R$ &quot;* &quot;-&quot;???_);_(@_)"/>
    <numFmt numFmtId="196" formatCode="_(* #,##0.000_);_(* \(#,##0.000\);_(* &quot;-&quot;???_);_(@_)"/>
    <numFmt numFmtId="197" formatCode="[$-F800]dddd\,\ mmmm\ dd\,\ yyyy"/>
    <numFmt numFmtId="198" formatCode="_-* #,##0.00_-;\-* #,##0.00_-;_-* \-??_-;_-@_-"/>
    <numFmt numFmtId="199" formatCode="00\ "/>
    <numFmt numFmtId="200" formatCode="000,000"/>
    <numFmt numFmtId="201" formatCode="0.0%"/>
    <numFmt numFmtId="202" formatCode="_-* #,##0.000_-;\-* #,##0.000_-;_-* &quot;-&quot;??_-;_-@_-"/>
    <numFmt numFmtId="203" formatCode="_-* #,##0.0000_-;\-* #,##0.0000_-;_-* &quot;-&quot;??_-;_-@_-"/>
    <numFmt numFmtId="204" formatCode="[$-416]mmmm\-yy;@"/>
    <numFmt numFmtId="205" formatCode="[$-416]mmmm\-yyyy;@"/>
    <numFmt numFmtId="206" formatCode="[$-416]mmmm\ \-\ yyyy;@"/>
    <numFmt numFmtId="207" formatCode="[$-416]mmmm/yyyy;@"/>
    <numFmt numFmtId="208" formatCode="[$-416]mmm\-yy;@"/>
    <numFmt numFmtId="209" formatCode="&quot;Ativado&quot;;&quot;Ativado&quot;;&quot;Desativado&quot;"/>
    <numFmt numFmtId="210" formatCode="[$-416]mmm/yyyy;@"/>
    <numFmt numFmtId="211" formatCode="0000"/>
    <numFmt numFmtId="212" formatCode="00"/>
    <numFmt numFmtId="213" formatCode="dd/mm/yy;@"/>
    <numFmt numFmtId="214" formatCode="_-* #,##0.0_-;\-* #,##0.0_-;_-* &quot;-&quot;??_-;_-@_-"/>
    <numFmt numFmtId="215" formatCode="_-* #,##0.00000_-;\-* #,##0.00000_-;_-* &quot;-&quot;??_-;_-@_-"/>
    <numFmt numFmtId="216" formatCode="_-* #,##0.000000_-;\-* #,##0.000000_-;_-* &quot;-&quot;??_-;_-@_-"/>
    <numFmt numFmtId="217" formatCode="_-* #,##0.0000000_-;\-* #,##0.0000000_-;_-* &quot;-&quot;??_-;_-@_-"/>
    <numFmt numFmtId="218" formatCode="_-* #,##0.00000000_-;\-* #,##0.00000000_-;_-* &quot;-&quot;??_-;_-@_-"/>
    <numFmt numFmtId="219" formatCode="0.00000"/>
    <numFmt numFmtId="220" formatCode="#,##0.00000"/>
    <numFmt numFmtId="221" formatCode="&quot;R$&quot;\ #,##0.00"/>
  </numFmts>
  <fonts count="11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sz val="8"/>
      <color indexed="12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2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4"/>
      <name val="Arial Narrow"/>
      <family val="2"/>
    </font>
    <font>
      <b/>
      <i/>
      <sz val="9"/>
      <color indexed="2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i/>
      <sz val="10"/>
      <color indexed="22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sz val="10"/>
      <color indexed="2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color indexed="22"/>
      <name val="Arial Narrow"/>
      <family val="2"/>
    </font>
    <font>
      <b/>
      <i/>
      <sz val="14"/>
      <color indexed="22"/>
      <name val="Arial Narrow"/>
      <family val="2"/>
    </font>
    <font>
      <sz val="14"/>
      <name val="Arial Narrow"/>
      <family val="2"/>
    </font>
    <font>
      <b/>
      <i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  <font>
      <sz val="8"/>
      <color indexed="55"/>
      <name val="Arial Narrow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Segoe UI"/>
      <family val="2"/>
    </font>
    <font>
      <sz val="10"/>
      <color indexed="55"/>
      <name val="Arial Narrow"/>
      <family val="2"/>
    </font>
    <font>
      <sz val="9"/>
      <color indexed="5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Segoe UI"/>
      <family val="2"/>
    </font>
    <font>
      <sz val="18"/>
      <color indexed="58"/>
      <name val="Verdana"/>
      <family val="2"/>
    </font>
    <font>
      <sz val="14"/>
      <color indexed="58"/>
      <name val="Verdana"/>
      <family val="2"/>
    </font>
    <font>
      <sz val="7"/>
      <color indexed="8"/>
      <name val="Verdana"/>
      <family val="2"/>
    </font>
    <font>
      <sz val="5.5"/>
      <color indexed="8"/>
      <name val="Arial"/>
      <family val="2"/>
    </font>
    <font>
      <b/>
      <sz val="11.25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21"/>
      </right>
      <top style="thin">
        <color indexed="9"/>
      </top>
      <bottom style="medium">
        <color indexed="9"/>
      </bottom>
    </border>
    <border>
      <left style="medium">
        <color indexed="21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21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21"/>
      </right>
      <top style="thin">
        <color indexed="9"/>
      </top>
      <bottom style="thin">
        <color indexed="9"/>
      </bottom>
    </border>
    <border>
      <left style="medium">
        <color indexed="21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21"/>
      </right>
      <top style="medium">
        <color indexed="9"/>
      </top>
      <bottom style="thin">
        <color indexed="9"/>
      </bottom>
    </border>
    <border>
      <left style="medium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medium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thin">
        <color indexed="44"/>
      </top>
      <bottom>
        <color indexed="63"/>
      </bottom>
    </border>
    <border>
      <left style="medium">
        <color indexed="44"/>
      </left>
      <right style="thin">
        <color indexed="44"/>
      </right>
      <top style="thin">
        <color indexed="44"/>
      </top>
      <bottom style="medium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medium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44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3499799966812134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55"/>
      </bottom>
    </border>
    <border>
      <left style="medium">
        <color indexed="55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55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9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9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21"/>
      </right>
      <top>
        <color indexed="63"/>
      </top>
      <bottom style="thin">
        <color indexed="9"/>
      </bottom>
    </border>
    <border>
      <left style="medium">
        <color indexed="21"/>
      </left>
      <right style="thin">
        <color indexed="9"/>
      </right>
      <top style="thin">
        <color indexed="9"/>
      </top>
      <bottom style="medium">
        <color indexed="21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21"/>
      </bottom>
    </border>
    <border>
      <left style="medium">
        <color indexed="21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>
        <color indexed="44"/>
      </left>
      <right style="medium">
        <color indexed="44"/>
      </right>
      <top style="medium">
        <color indexed="44"/>
      </top>
      <bottom>
        <color indexed="63"/>
      </bottom>
    </border>
    <border>
      <left style="thin">
        <color indexed="44"/>
      </left>
      <right style="medium">
        <color indexed="44"/>
      </right>
      <top>
        <color indexed="63"/>
      </top>
      <bottom style="thin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medium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medium">
        <color indexed="44"/>
      </top>
      <bottom style="thin">
        <color indexed="44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medium"/>
      <top style="thin">
        <color indexed="55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" borderId="0" applyNumberFormat="0" applyBorder="0" applyAlignment="0" applyProtection="0"/>
    <xf numFmtId="0" fontId="1" fillId="2" borderId="0" applyNumberFormat="0" applyBorder="0" applyAlignment="0" applyProtection="0"/>
    <xf numFmtId="0" fontId="101" fillId="3" borderId="0" applyNumberFormat="0" applyBorder="0" applyAlignment="0" applyProtection="0"/>
    <xf numFmtId="0" fontId="1" fillId="3" borderId="0" applyNumberFormat="0" applyBorder="0" applyAlignment="0" applyProtection="0"/>
    <xf numFmtId="0" fontId="101" fillId="4" borderId="0" applyNumberFormat="0" applyBorder="0" applyAlignment="0" applyProtection="0"/>
    <xf numFmtId="0" fontId="1" fillId="4" borderId="0" applyNumberFormat="0" applyBorder="0" applyAlignment="0" applyProtection="0"/>
    <xf numFmtId="0" fontId="101" fillId="5" borderId="0" applyNumberFormat="0" applyBorder="0" applyAlignment="0" applyProtection="0"/>
    <xf numFmtId="0" fontId="1" fillId="5" borderId="0" applyNumberFormat="0" applyBorder="0" applyAlignment="0" applyProtection="0"/>
    <xf numFmtId="0" fontId="101" fillId="6" borderId="0" applyNumberFormat="0" applyBorder="0" applyAlignment="0" applyProtection="0"/>
    <xf numFmtId="0" fontId="1" fillId="7" borderId="0" applyNumberFormat="0" applyBorder="0" applyAlignment="0" applyProtection="0"/>
    <xf numFmtId="0" fontId="101" fillId="8" borderId="0" applyNumberFormat="0" applyBorder="0" applyAlignment="0" applyProtection="0"/>
    <xf numFmtId="0" fontId="1" fillId="9" borderId="0" applyNumberFormat="0" applyBorder="0" applyAlignment="0" applyProtection="0"/>
    <xf numFmtId="0" fontId="101" fillId="10" borderId="0" applyNumberFormat="0" applyBorder="0" applyAlignment="0" applyProtection="0"/>
    <xf numFmtId="0" fontId="1" fillId="11" borderId="0" applyNumberFormat="0" applyBorder="0" applyAlignment="0" applyProtection="0"/>
    <xf numFmtId="0" fontId="101" fillId="12" borderId="0" applyNumberFormat="0" applyBorder="0" applyAlignment="0" applyProtection="0"/>
    <xf numFmtId="0" fontId="1" fillId="13" borderId="0" applyNumberFormat="0" applyBorder="0" applyAlignment="0" applyProtection="0"/>
    <xf numFmtId="0" fontId="101" fillId="14" borderId="0" applyNumberFormat="0" applyBorder="0" applyAlignment="0" applyProtection="0"/>
    <xf numFmtId="0" fontId="1" fillId="14" borderId="0" applyNumberFormat="0" applyBorder="0" applyAlignment="0" applyProtection="0"/>
    <xf numFmtId="0" fontId="101" fillId="15" borderId="0" applyNumberFormat="0" applyBorder="0" applyAlignment="0" applyProtection="0"/>
    <xf numFmtId="0" fontId="1" fillId="5" borderId="0" applyNumberFormat="0" applyBorder="0" applyAlignment="0" applyProtection="0"/>
    <xf numFmtId="0" fontId="101" fillId="16" borderId="0" applyNumberFormat="0" applyBorder="0" applyAlignment="0" applyProtection="0"/>
    <xf numFmtId="0" fontId="1" fillId="11" borderId="0" applyNumberFormat="0" applyBorder="0" applyAlignment="0" applyProtection="0"/>
    <xf numFmtId="0" fontId="101" fillId="17" borderId="0" applyNumberFormat="0" applyBorder="0" applyAlignment="0" applyProtection="0"/>
    <xf numFmtId="0" fontId="1" fillId="18" borderId="0" applyNumberFormat="0" applyBorder="0" applyAlignment="0" applyProtection="0"/>
    <xf numFmtId="0" fontId="102" fillId="19" borderId="0" applyNumberFormat="0" applyBorder="0" applyAlignment="0" applyProtection="0"/>
    <xf numFmtId="0" fontId="69" fillId="20" borderId="0" applyNumberFormat="0" applyBorder="0" applyAlignment="0" applyProtection="0"/>
    <xf numFmtId="0" fontId="102" fillId="21" borderId="0" applyNumberFormat="0" applyBorder="0" applyAlignment="0" applyProtection="0"/>
    <xf numFmtId="0" fontId="69" fillId="13" borderId="0" applyNumberFormat="0" applyBorder="0" applyAlignment="0" applyProtection="0"/>
    <xf numFmtId="0" fontId="102" fillId="14" borderId="0" applyNumberFormat="0" applyBorder="0" applyAlignment="0" applyProtection="0"/>
    <xf numFmtId="0" fontId="69" fillId="14" borderId="0" applyNumberFormat="0" applyBorder="0" applyAlignment="0" applyProtection="0"/>
    <xf numFmtId="0" fontId="102" fillId="22" borderId="0" applyNumberFormat="0" applyBorder="0" applyAlignment="0" applyProtection="0"/>
    <xf numFmtId="0" fontId="69" fillId="22" borderId="0" applyNumberFormat="0" applyBorder="0" applyAlignment="0" applyProtection="0"/>
    <xf numFmtId="0" fontId="102" fillId="23" borderId="0" applyNumberFormat="0" applyBorder="0" applyAlignment="0" applyProtection="0"/>
    <xf numFmtId="0" fontId="69" fillId="24" borderId="0" applyNumberFormat="0" applyBorder="0" applyAlignment="0" applyProtection="0"/>
    <xf numFmtId="0" fontId="102" fillId="25" borderId="0" applyNumberFormat="0" applyBorder="0" applyAlignment="0" applyProtection="0"/>
    <xf numFmtId="0" fontId="69" fillId="25" borderId="0" applyNumberFormat="0" applyBorder="0" applyAlignment="0" applyProtection="0"/>
    <xf numFmtId="0" fontId="103" fillId="26" borderId="0" applyNumberFormat="0" applyBorder="0" applyAlignment="0" applyProtection="0"/>
    <xf numFmtId="0" fontId="70" fillId="4" borderId="0" applyNumberFormat="0" applyBorder="0" applyAlignment="0" applyProtection="0"/>
    <xf numFmtId="0" fontId="104" fillId="27" borderId="1" applyNumberFormat="0" applyAlignment="0" applyProtection="0"/>
    <xf numFmtId="0" fontId="71" fillId="28" borderId="2" applyNumberFormat="0" applyAlignment="0" applyProtection="0"/>
    <xf numFmtId="0" fontId="105" fillId="29" borderId="3" applyNumberFormat="0" applyAlignment="0" applyProtection="0"/>
    <xf numFmtId="0" fontId="72" fillId="30" borderId="4" applyNumberFormat="0" applyAlignment="0" applyProtection="0"/>
    <xf numFmtId="0" fontId="106" fillId="0" borderId="5" applyNumberFormat="0" applyFill="0" applyAlignment="0" applyProtection="0"/>
    <xf numFmtId="0" fontId="73" fillId="0" borderId="6" applyNumberFormat="0" applyFill="0" applyAlignment="0" applyProtection="0"/>
    <xf numFmtId="0" fontId="102" fillId="31" borderId="0" applyNumberFormat="0" applyBorder="0" applyAlignment="0" applyProtection="0"/>
    <xf numFmtId="0" fontId="69" fillId="32" borderId="0" applyNumberFormat="0" applyBorder="0" applyAlignment="0" applyProtection="0"/>
    <xf numFmtId="0" fontId="102" fillId="33" borderId="0" applyNumberFormat="0" applyBorder="0" applyAlignment="0" applyProtection="0"/>
    <xf numFmtId="0" fontId="69" fillId="34" borderId="0" applyNumberFormat="0" applyBorder="0" applyAlignment="0" applyProtection="0"/>
    <xf numFmtId="0" fontId="102" fillId="35" borderId="0" applyNumberFormat="0" applyBorder="0" applyAlignment="0" applyProtection="0"/>
    <xf numFmtId="0" fontId="69" fillId="36" borderId="0" applyNumberFormat="0" applyBorder="0" applyAlignment="0" applyProtection="0"/>
    <xf numFmtId="0" fontId="102" fillId="37" borderId="0" applyNumberFormat="0" applyBorder="0" applyAlignment="0" applyProtection="0"/>
    <xf numFmtId="0" fontId="69" fillId="22" borderId="0" applyNumberFormat="0" applyBorder="0" applyAlignment="0" applyProtection="0"/>
    <xf numFmtId="0" fontId="102" fillId="38" borderId="0" applyNumberFormat="0" applyBorder="0" applyAlignment="0" applyProtection="0"/>
    <xf numFmtId="0" fontId="69" fillId="24" borderId="0" applyNumberFormat="0" applyBorder="0" applyAlignment="0" applyProtection="0"/>
    <xf numFmtId="0" fontId="102" fillId="39" borderId="0" applyNumberFormat="0" applyBorder="0" applyAlignment="0" applyProtection="0"/>
    <xf numFmtId="0" fontId="69" fillId="40" borderId="0" applyNumberFormat="0" applyBorder="0" applyAlignment="0" applyProtection="0"/>
    <xf numFmtId="0" fontId="107" fillId="41" borderId="1" applyNumberFormat="0" applyAlignment="0" applyProtection="0"/>
    <xf numFmtId="0" fontId="74" fillId="9" borderId="2" applyNumberFormat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5" fontId="10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8" fillId="42" borderId="0" applyNumberFormat="0" applyBorder="0" applyAlignment="0" applyProtection="0"/>
    <xf numFmtId="0" fontId="76" fillId="43" borderId="0" applyNumberFormat="0" applyBorder="0" applyAlignment="0" applyProtection="0"/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44" borderId="7" applyNumberFormat="0" applyFon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09" fillId="46" borderId="0" applyNumberFormat="0" applyBorder="0" applyAlignment="0" applyProtection="0"/>
    <xf numFmtId="0" fontId="75" fillId="3" borderId="0" applyNumberFormat="0" applyBorder="0" applyAlignment="0" applyProtection="0"/>
    <xf numFmtId="0" fontId="110" fillId="27" borderId="9" applyNumberFormat="0" applyAlignment="0" applyProtection="0"/>
    <xf numFmtId="0" fontId="77" fillId="28" borderId="10" applyNumberFormat="0" applyAlignment="0" applyProtection="0"/>
    <xf numFmtId="169" fontId="0" fillId="0" borderId="0" applyFont="0" applyFill="0" applyBorder="0" applyAlignment="0" applyProtection="0"/>
    <xf numFmtId="216" fontId="101" fillId="0" borderId="0" applyFont="0" applyFill="0" applyBorder="0" applyAlignment="0" applyProtection="0"/>
    <xf numFmtId="0" fontId="111" fillId="0" borderId="0">
      <alignment/>
      <protection/>
    </xf>
    <xf numFmtId="0" fontId="11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81" fillId="0" borderId="12" applyNumberFormat="0" applyFill="0" applyAlignment="0" applyProtection="0"/>
    <xf numFmtId="0" fontId="116" fillId="0" borderId="13" applyNumberFormat="0" applyFill="0" applyAlignment="0" applyProtection="0"/>
    <xf numFmtId="0" fontId="82" fillId="0" borderId="14" applyNumberFormat="0" applyFill="0" applyAlignment="0" applyProtection="0"/>
    <xf numFmtId="0" fontId="117" fillId="0" borderId="15" applyNumberFormat="0" applyFill="0" applyAlignment="0" applyProtection="0"/>
    <xf numFmtId="0" fontId="83" fillId="0" borderId="16" applyNumberFormat="0" applyFill="0" applyAlignment="0" applyProtection="0"/>
    <xf numFmtId="0" fontId="11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17" applyNumberFormat="0" applyFill="0" applyAlignment="0" applyProtection="0"/>
    <xf numFmtId="0" fontId="84" fillId="0" borderId="18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43" borderId="0" xfId="0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0" fillId="43" borderId="0" xfId="0" applyNumberFormat="1" applyFill="1" applyBorder="1" applyAlignment="1">
      <alignment/>
    </xf>
    <xf numFmtId="4" fontId="0" fillId="47" borderId="0" xfId="0" applyNumberFormat="1" applyFill="1" applyBorder="1" applyAlignment="1">
      <alignment/>
    </xf>
    <xf numFmtId="0" fontId="0" fillId="47" borderId="0" xfId="0" applyFill="1" applyAlignment="1">
      <alignment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0" borderId="19" xfId="0" applyFont="1" applyBorder="1" applyAlignment="1">
      <alignment horizontal="justify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45" borderId="20" xfId="0" applyFont="1" applyFill="1" applyBorder="1" applyAlignment="1">
      <alignment horizontal="center"/>
    </xf>
    <xf numFmtId="0" fontId="5" fillId="48" borderId="20" xfId="0" applyFont="1" applyFill="1" applyBorder="1" applyAlignment="1">
      <alignment horizontal="center"/>
    </xf>
    <xf numFmtId="0" fontId="4" fillId="45" borderId="20" xfId="0" applyFont="1" applyFill="1" applyBorder="1" applyAlignment="1">
      <alignment horizontal="center" wrapText="1"/>
    </xf>
    <xf numFmtId="0" fontId="13" fillId="45" borderId="20" xfId="0" applyFont="1" applyFill="1" applyBorder="1" applyAlignment="1">
      <alignment horizontal="center"/>
    </xf>
    <xf numFmtId="0" fontId="12" fillId="45" borderId="20" xfId="0" applyFont="1" applyFill="1" applyBorder="1" applyAlignment="1">
      <alignment horizontal="center"/>
    </xf>
    <xf numFmtId="0" fontId="5" fillId="45" borderId="20" xfId="0" applyFont="1" applyFill="1" applyBorder="1" applyAlignment="1">
      <alignment horizontal="center"/>
    </xf>
    <xf numFmtId="0" fontId="4" fillId="45" borderId="20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wrapText="1"/>
    </xf>
    <xf numFmtId="0" fontId="12" fillId="48" borderId="20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justify" wrapText="1"/>
    </xf>
    <xf numFmtId="0" fontId="5" fillId="0" borderId="19" xfId="0" applyFont="1" applyBorder="1" applyAlignment="1">
      <alignment horizontal="center" wrapText="1"/>
    </xf>
    <xf numFmtId="0" fontId="0" fillId="48" borderId="0" xfId="0" applyFill="1" applyBorder="1" applyAlignment="1">
      <alignment/>
    </xf>
    <xf numFmtId="0" fontId="0" fillId="48" borderId="0" xfId="0" applyFill="1" applyAlignment="1">
      <alignment/>
    </xf>
    <xf numFmtId="0" fontId="4" fillId="48" borderId="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left" vertical="top"/>
    </xf>
    <xf numFmtId="4" fontId="4" fillId="48" borderId="0" xfId="0" applyNumberFormat="1" applyFont="1" applyFill="1" applyBorder="1" applyAlignment="1">
      <alignment horizontal="right" vertical="center"/>
    </xf>
    <xf numFmtId="0" fontId="4" fillId="48" borderId="8" xfId="0" applyFont="1" applyFill="1" applyBorder="1" applyAlignment="1">
      <alignment vertical="center" wrapText="1"/>
    </xf>
    <xf numFmtId="10" fontId="17" fillId="0" borderId="8" xfId="94" applyNumberFormat="1" applyFont="1" applyBorder="1" applyAlignment="1">
      <alignment horizontal="center" vertical="center" wrapText="1"/>
    </xf>
    <xf numFmtId="4" fontId="17" fillId="0" borderId="8" xfId="94" applyNumberFormat="1" applyFont="1" applyBorder="1" applyAlignment="1">
      <alignment horizontal="center" vertical="center" wrapText="1"/>
    </xf>
    <xf numFmtId="2" fontId="17" fillId="0" borderId="8" xfId="94" applyNumberFormat="1" applyFont="1" applyBorder="1" applyAlignment="1">
      <alignment horizontal="center" vertical="center" wrapText="1"/>
    </xf>
    <xf numFmtId="10" fontId="17" fillId="0" borderId="8" xfId="0" applyNumberFormat="1" applyFont="1" applyFill="1" applyBorder="1" applyAlignment="1">
      <alignment horizontal="center" vertical="center"/>
    </xf>
    <xf numFmtId="0" fontId="18" fillId="0" borderId="8" xfId="90" applyFont="1" applyFill="1" applyBorder="1" applyAlignment="1">
      <alignment horizontal="center" vertical="center" wrapText="1"/>
      <protection/>
    </xf>
    <xf numFmtId="10" fontId="17" fillId="0" borderId="8" xfId="94" applyNumberFormat="1" applyFont="1" applyFill="1" applyBorder="1" applyAlignment="1">
      <alignment horizontal="center" vertical="center" wrapText="1"/>
    </xf>
    <xf numFmtId="4" fontId="17" fillId="0" borderId="8" xfId="94" applyNumberFormat="1" applyFont="1" applyFill="1" applyBorder="1" applyAlignment="1">
      <alignment horizontal="center" vertical="center" wrapText="1"/>
    </xf>
    <xf numFmtId="10" fontId="18" fillId="0" borderId="8" xfId="90" applyNumberFormat="1" applyFont="1" applyFill="1" applyBorder="1" applyAlignment="1">
      <alignment horizontal="center" vertical="center" wrapText="1"/>
      <protection/>
    </xf>
    <xf numFmtId="2" fontId="17" fillId="0" borderId="8" xfId="94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 wrapText="1"/>
    </xf>
    <xf numFmtId="4" fontId="18" fillId="0" borderId="8" xfId="90" applyNumberFormat="1" applyFont="1" applyFill="1" applyBorder="1" applyAlignment="1">
      <alignment horizontal="center" vertical="center" wrapText="1"/>
      <protection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10" fontId="18" fillId="48" borderId="8" xfId="90" applyNumberFormat="1" applyFont="1" applyFill="1" applyBorder="1" applyAlignment="1">
      <alignment horizontal="center" vertical="center" wrapText="1"/>
      <protection/>
    </xf>
    <xf numFmtId="10" fontId="17" fillId="45" borderId="8" xfId="90" applyNumberFormat="1" applyFont="1" applyFill="1" applyBorder="1" applyAlignment="1">
      <alignment horizontal="center" vertical="center" wrapText="1"/>
      <protection/>
    </xf>
    <xf numFmtId="0" fontId="4" fillId="4" borderId="8" xfId="90" applyFont="1" applyFill="1" applyBorder="1" applyAlignment="1">
      <alignment vertical="justify" wrapText="1"/>
      <protection/>
    </xf>
    <xf numFmtId="0" fontId="12" fillId="49" borderId="8" xfId="90" applyFont="1" applyFill="1" applyBorder="1" applyAlignment="1">
      <alignment vertical="justify" wrapText="1"/>
      <protection/>
    </xf>
    <xf numFmtId="0" fontId="12" fillId="49" borderId="22" xfId="90" applyFont="1" applyFill="1" applyBorder="1" applyAlignment="1">
      <alignment horizontal="center" vertical="justify" wrapText="1"/>
      <protection/>
    </xf>
    <xf numFmtId="0" fontId="12" fillId="49" borderId="23" xfId="90" applyFont="1" applyFill="1" applyBorder="1" applyAlignment="1">
      <alignment vertical="justify" wrapText="1"/>
      <protection/>
    </xf>
    <xf numFmtId="0" fontId="4" fillId="4" borderId="24" xfId="90" applyFont="1" applyFill="1" applyBorder="1" applyAlignment="1">
      <alignment vertical="justify" wrapText="1"/>
      <protection/>
    </xf>
    <xf numFmtId="0" fontId="12" fillId="49" borderId="24" xfId="90" applyFont="1" applyFill="1" applyBorder="1" applyAlignment="1">
      <alignment vertical="justify" wrapText="1"/>
      <protection/>
    </xf>
    <xf numFmtId="0" fontId="4" fillId="4" borderId="25" xfId="90" applyFont="1" applyFill="1" applyBorder="1" applyAlignment="1">
      <alignment vertical="justify" wrapText="1"/>
      <protection/>
    </xf>
    <xf numFmtId="0" fontId="4" fillId="4" borderId="26" xfId="90" applyFont="1" applyFill="1" applyBorder="1" applyAlignment="1">
      <alignment vertical="justify" wrapText="1"/>
      <protection/>
    </xf>
    <xf numFmtId="10" fontId="5" fillId="28" borderId="27" xfId="0" applyNumberFormat="1" applyFont="1" applyFill="1" applyBorder="1" applyAlignment="1">
      <alignment/>
    </xf>
    <xf numFmtId="0" fontId="11" fillId="49" borderId="26" xfId="90" applyFont="1" applyFill="1" applyBorder="1" applyAlignment="1">
      <alignment horizontal="center" vertical="justify" wrapText="1"/>
      <protection/>
    </xf>
    <xf numFmtId="0" fontId="0" fillId="48" borderId="28" xfId="0" applyFill="1" applyBorder="1" applyAlignment="1">
      <alignment/>
    </xf>
    <xf numFmtId="0" fontId="0" fillId="48" borderId="29" xfId="0" applyFont="1" applyFill="1" applyBorder="1" applyAlignment="1">
      <alignment horizontal="center"/>
    </xf>
    <xf numFmtId="0" fontId="4" fillId="4" borderId="30" xfId="0" applyFont="1" applyFill="1" applyBorder="1" applyAlignment="1">
      <alignment vertical="center" wrapText="1"/>
    </xf>
    <xf numFmtId="4" fontId="0" fillId="48" borderId="0" xfId="0" applyNumberFormat="1" applyFill="1" applyBorder="1" applyAlignment="1">
      <alignment/>
    </xf>
    <xf numFmtId="4" fontId="0" fillId="4" borderId="0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45" borderId="0" xfId="0" applyFill="1" applyAlignment="1">
      <alignment/>
    </xf>
    <xf numFmtId="4" fontId="0" fillId="45" borderId="0" xfId="0" applyNumberFormat="1" applyFill="1" applyBorder="1" applyAlignment="1">
      <alignment/>
    </xf>
    <xf numFmtId="0" fontId="0" fillId="45" borderId="0" xfId="0" applyFont="1" applyFill="1" applyAlignment="1">
      <alignment/>
    </xf>
    <xf numFmtId="0" fontId="0" fillId="48" borderId="0" xfId="0" applyFont="1" applyFill="1" applyAlignment="1">
      <alignment/>
    </xf>
    <xf numFmtId="43" fontId="5" fillId="28" borderId="19" xfId="0" applyNumberFormat="1" applyFont="1" applyFill="1" applyBorder="1" applyAlignment="1">
      <alignment horizontal="right" vertical="center"/>
    </xf>
    <xf numFmtId="4" fontId="12" fillId="50" borderId="19" xfId="122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/>
    </xf>
    <xf numFmtId="0" fontId="4" fillId="4" borderId="31" xfId="0" applyFont="1" applyFill="1" applyBorder="1" applyAlignment="1">
      <alignment horizontal="left" vertical="center"/>
    </xf>
    <xf numFmtId="0" fontId="4" fillId="45" borderId="31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3" fillId="48" borderId="32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8" borderId="21" xfId="0" applyFont="1" applyFill="1" applyBorder="1" applyAlignment="1">
      <alignment horizontal="left" vertical="center"/>
    </xf>
    <xf numFmtId="0" fontId="5" fillId="48" borderId="31" xfId="0" applyFont="1" applyFill="1" applyBorder="1" applyAlignment="1">
      <alignment horizontal="left" vertical="center"/>
    </xf>
    <xf numFmtId="0" fontId="4" fillId="45" borderId="21" xfId="0" applyFont="1" applyFill="1" applyBorder="1" applyAlignment="1">
      <alignment horizontal="left" vertical="center"/>
    </xf>
    <xf numFmtId="0" fontId="4" fillId="48" borderId="33" xfId="0" applyFont="1" applyFill="1" applyBorder="1" applyAlignment="1">
      <alignment horizontal="right" vertical="center" wrapText="1"/>
    </xf>
    <xf numFmtId="0" fontId="4" fillId="48" borderId="32" xfId="0" applyFont="1" applyFill="1" applyBorder="1" applyAlignment="1">
      <alignment horizontal="right" vertical="center" wrapText="1"/>
    </xf>
    <xf numFmtId="0" fontId="5" fillId="48" borderId="34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4" borderId="20" xfId="0" applyFont="1" applyFill="1" applyBorder="1" applyAlignment="1">
      <alignment horizontal="justify" vertical="center" wrapText="1"/>
    </xf>
    <xf numFmtId="0" fontId="4" fillId="45" borderId="20" xfId="0" applyFont="1" applyFill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12" fillId="48" borderId="0" xfId="0" applyFont="1" applyFill="1" applyBorder="1" applyAlignment="1">
      <alignment horizontal="right" vertical="center" wrapText="1"/>
    </xf>
    <xf numFmtId="0" fontId="12" fillId="48" borderId="20" xfId="0" applyFont="1" applyFill="1" applyBorder="1" applyAlignment="1">
      <alignment horizontal="right" vertical="center" wrapText="1"/>
    </xf>
    <xf numFmtId="0" fontId="4" fillId="45" borderId="20" xfId="0" applyFont="1" applyFill="1" applyBorder="1" applyAlignment="1">
      <alignment horizontal="justify" vertical="center" wrapText="1"/>
    </xf>
    <xf numFmtId="0" fontId="4" fillId="48" borderId="20" xfId="0" applyFont="1" applyFill="1" applyBorder="1" applyAlignment="1">
      <alignment horizontal="justify" vertical="center" wrapText="1"/>
    </xf>
    <xf numFmtId="0" fontId="12" fillId="48" borderId="20" xfId="0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justify" vertical="center" wrapText="1"/>
    </xf>
    <xf numFmtId="0" fontId="4" fillId="4" borderId="20" xfId="0" applyFont="1" applyFill="1" applyBorder="1" applyAlignment="1">
      <alignment vertical="center" wrapText="1"/>
    </xf>
    <xf numFmtId="0" fontId="9" fillId="45" borderId="19" xfId="0" applyFont="1" applyFill="1" applyBorder="1" applyAlignment="1">
      <alignment vertical="center" wrapText="1"/>
    </xf>
    <xf numFmtId="0" fontId="4" fillId="48" borderId="35" xfId="0" applyFont="1" applyFill="1" applyBorder="1" applyAlignment="1">
      <alignment horizontal="right" vertical="center" wrapText="1"/>
    </xf>
    <xf numFmtId="0" fontId="5" fillId="48" borderId="0" xfId="0" applyFont="1" applyFill="1" applyBorder="1" applyAlignment="1">
      <alignment horizontal="right" vertical="center" wrapText="1"/>
    </xf>
    <xf numFmtId="0" fontId="8" fillId="48" borderId="0" xfId="0" applyFont="1" applyFill="1" applyBorder="1" applyAlignment="1">
      <alignment horizontal="right" vertical="center" wrapText="1"/>
    </xf>
    <xf numFmtId="0" fontId="5" fillId="48" borderId="2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4" fillId="48" borderId="19" xfId="0" applyNumberFormat="1" applyFont="1" applyFill="1" applyBorder="1" applyAlignment="1">
      <alignment horizontal="center" vertical="center"/>
    </xf>
    <xf numFmtId="43" fontId="4" fillId="28" borderId="19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4" fontId="4" fillId="4" borderId="20" xfId="122" applyNumberFormat="1" applyFont="1" applyFill="1" applyBorder="1" applyAlignment="1">
      <alignment horizontal="right" vertical="center"/>
    </xf>
    <xf numFmtId="43" fontId="5" fillId="4" borderId="20" xfId="0" applyNumberFormat="1" applyFont="1" applyFill="1" applyBorder="1" applyAlignment="1">
      <alignment horizontal="right" vertical="center"/>
    </xf>
    <xf numFmtId="43" fontId="5" fillId="4" borderId="20" xfId="0" applyNumberFormat="1" applyFont="1" applyFill="1" applyBorder="1" applyAlignment="1">
      <alignment horizontal="right" vertical="center" wrapText="1"/>
    </xf>
    <xf numFmtId="4" fontId="4" fillId="4" borderId="20" xfId="0" applyNumberFormat="1" applyFont="1" applyFill="1" applyBorder="1" applyAlignment="1">
      <alignment horizontal="right" vertical="center"/>
    </xf>
    <xf numFmtId="4" fontId="4" fillId="4" borderId="20" xfId="0" applyNumberFormat="1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 vertical="center"/>
    </xf>
    <xf numFmtId="4" fontId="4" fillId="45" borderId="20" xfId="122" applyNumberFormat="1" applyFont="1" applyFill="1" applyBorder="1" applyAlignment="1">
      <alignment horizontal="right" vertical="center"/>
    </xf>
    <xf numFmtId="43" fontId="5" fillId="45" borderId="20" xfId="0" applyNumberFormat="1" applyFont="1" applyFill="1" applyBorder="1" applyAlignment="1">
      <alignment horizontal="right" vertical="center"/>
    </xf>
    <xf numFmtId="43" fontId="5" fillId="45" borderId="20" xfId="0" applyNumberFormat="1" applyFont="1" applyFill="1" applyBorder="1" applyAlignment="1">
      <alignment horizontal="right" vertical="center" wrapText="1"/>
    </xf>
    <xf numFmtId="4" fontId="4" fillId="45" borderId="20" xfId="0" applyNumberFormat="1" applyFont="1" applyFill="1" applyBorder="1" applyAlignment="1">
      <alignment horizontal="right" vertical="center"/>
    </xf>
    <xf numFmtId="4" fontId="4" fillId="45" borderId="20" xfId="0" applyNumberFormat="1" applyFont="1" applyFill="1" applyBorder="1" applyAlignment="1">
      <alignment horizontal="center" vertical="center"/>
    </xf>
    <xf numFmtId="43" fontId="5" fillId="28" borderId="19" xfId="0" applyNumberFormat="1" applyFont="1" applyFill="1" applyBorder="1" applyAlignment="1">
      <alignment horizontal="right" vertical="center" wrapText="1"/>
    </xf>
    <xf numFmtId="43" fontId="5" fillId="48" borderId="19" xfId="122" applyNumberFormat="1" applyFont="1" applyFill="1" applyBorder="1" applyAlignment="1">
      <alignment horizontal="right" vertical="center"/>
    </xf>
    <xf numFmtId="4" fontId="5" fillId="28" borderId="19" xfId="122" applyNumberFormat="1" applyFont="1" applyFill="1" applyBorder="1" applyAlignment="1">
      <alignment horizontal="right" vertical="center"/>
    </xf>
    <xf numFmtId="0" fontId="5" fillId="28" borderId="19" xfId="0" applyFont="1" applyFill="1" applyBorder="1" applyAlignment="1">
      <alignment horizontal="center" vertical="center"/>
    </xf>
    <xf numFmtId="4" fontId="5" fillId="48" borderId="19" xfId="122" applyNumberFormat="1" applyFont="1" applyFill="1" applyBorder="1" applyAlignment="1">
      <alignment horizontal="right" vertical="center"/>
    </xf>
    <xf numFmtId="43" fontId="15" fillId="48" borderId="19" xfId="122" applyNumberFormat="1" applyFont="1" applyFill="1" applyBorder="1" applyAlignment="1">
      <alignment horizontal="right" vertical="center"/>
    </xf>
    <xf numFmtId="0" fontId="15" fillId="28" borderId="19" xfId="0" applyFont="1" applyFill="1" applyBorder="1" applyAlignment="1">
      <alignment horizontal="center" vertical="center"/>
    </xf>
    <xf numFmtId="4" fontId="12" fillId="48" borderId="0" xfId="122" applyNumberFormat="1" applyFont="1" applyFill="1" applyBorder="1" applyAlignment="1">
      <alignment horizontal="right" vertical="center"/>
    </xf>
    <xf numFmtId="43" fontId="13" fillId="48" borderId="0" xfId="0" applyNumberFormat="1" applyFont="1" applyFill="1" applyBorder="1" applyAlignment="1">
      <alignment horizontal="right" vertical="center"/>
    </xf>
    <xf numFmtId="43" fontId="12" fillId="48" borderId="0" xfId="122" applyNumberFormat="1" applyFont="1" applyFill="1" applyBorder="1" applyAlignment="1">
      <alignment horizontal="right" vertical="center"/>
    </xf>
    <xf numFmtId="43" fontId="13" fillId="48" borderId="0" xfId="122" applyNumberFormat="1" applyFont="1" applyFill="1" applyBorder="1" applyAlignment="1">
      <alignment horizontal="right" vertical="center"/>
    </xf>
    <xf numFmtId="4" fontId="12" fillId="48" borderId="0" xfId="122" applyNumberFormat="1" applyFont="1" applyFill="1" applyBorder="1" applyAlignment="1">
      <alignment horizontal="right" vertical="center"/>
    </xf>
    <xf numFmtId="171" fontId="12" fillId="48" borderId="0" xfId="122" applyFont="1" applyFill="1" applyBorder="1" applyAlignment="1">
      <alignment horizontal="center" vertical="center"/>
    </xf>
    <xf numFmtId="43" fontId="5" fillId="4" borderId="20" xfId="122" applyNumberFormat="1" applyFont="1" applyFill="1" applyBorder="1" applyAlignment="1">
      <alignment horizontal="right" vertical="center"/>
    </xf>
    <xf numFmtId="171" fontId="4" fillId="4" borderId="20" xfId="122" applyFont="1" applyFill="1" applyBorder="1" applyAlignment="1">
      <alignment horizontal="center" vertical="center"/>
    </xf>
    <xf numFmtId="43" fontId="5" fillId="45" borderId="20" xfId="122" applyNumberFormat="1" applyFont="1" applyFill="1" applyBorder="1" applyAlignment="1">
      <alignment horizontal="right" vertical="center"/>
    </xf>
    <xf numFmtId="171" fontId="4" fillId="45" borderId="20" xfId="122" applyFont="1" applyFill="1" applyBorder="1" applyAlignment="1">
      <alignment horizontal="center" vertical="center"/>
    </xf>
    <xf numFmtId="43" fontId="5" fillId="28" borderId="19" xfId="122" applyNumberFormat="1" applyFont="1" applyFill="1" applyBorder="1" applyAlignment="1">
      <alignment horizontal="right" vertical="center"/>
    </xf>
    <xf numFmtId="171" fontId="5" fillId="28" borderId="19" xfId="122" applyFont="1" applyFill="1" applyBorder="1" applyAlignment="1">
      <alignment horizontal="center" vertical="center"/>
    </xf>
    <xf numFmtId="4" fontId="12" fillId="48" borderId="20" xfId="122" applyNumberFormat="1" applyFont="1" applyFill="1" applyBorder="1" applyAlignment="1">
      <alignment horizontal="right" vertical="center"/>
    </xf>
    <xf numFmtId="43" fontId="13" fillId="48" borderId="20" xfId="0" applyNumberFormat="1" applyFont="1" applyFill="1" applyBorder="1" applyAlignment="1">
      <alignment horizontal="right" vertical="center"/>
    </xf>
    <xf numFmtId="43" fontId="13" fillId="48" borderId="20" xfId="122" applyNumberFormat="1" applyFont="1" applyFill="1" applyBorder="1" applyAlignment="1">
      <alignment horizontal="right" vertical="center"/>
    </xf>
    <xf numFmtId="171" fontId="12" fillId="48" borderId="20" xfId="122" applyFont="1" applyFill="1" applyBorder="1" applyAlignment="1">
      <alignment horizontal="center" vertical="center"/>
    </xf>
    <xf numFmtId="4" fontId="5" fillId="45" borderId="20" xfId="122" applyNumberFormat="1" applyFont="1" applyFill="1" applyBorder="1" applyAlignment="1">
      <alignment horizontal="right" vertical="center"/>
    </xf>
    <xf numFmtId="171" fontId="5" fillId="45" borderId="20" xfId="122" applyFont="1" applyFill="1" applyBorder="1" applyAlignment="1">
      <alignment horizontal="center" vertical="center"/>
    </xf>
    <xf numFmtId="43" fontId="12" fillId="48" borderId="20" xfId="122" applyNumberFormat="1" applyFont="1" applyFill="1" applyBorder="1" applyAlignment="1">
      <alignment horizontal="right" vertical="center"/>
    </xf>
    <xf numFmtId="4" fontId="12" fillId="48" borderId="20" xfId="122" applyNumberFormat="1" applyFont="1" applyFill="1" applyBorder="1" applyAlignment="1">
      <alignment horizontal="right" vertical="center"/>
    </xf>
    <xf numFmtId="43" fontId="15" fillId="28" borderId="19" xfId="0" applyNumberFormat="1" applyFont="1" applyFill="1" applyBorder="1" applyAlignment="1">
      <alignment horizontal="right" vertical="center"/>
    </xf>
    <xf numFmtId="43" fontId="15" fillId="48" borderId="19" xfId="0" applyNumberFormat="1" applyFont="1" applyFill="1" applyBorder="1" applyAlignment="1">
      <alignment horizontal="right" vertical="center"/>
    </xf>
    <xf numFmtId="43" fontId="15" fillId="28" borderId="19" xfId="122" applyNumberFormat="1" applyFont="1" applyFill="1" applyBorder="1" applyAlignment="1">
      <alignment horizontal="right" vertical="center"/>
    </xf>
    <xf numFmtId="4" fontId="15" fillId="48" borderId="19" xfId="122" applyNumberFormat="1" applyFont="1" applyFill="1" applyBorder="1" applyAlignment="1">
      <alignment horizontal="right" vertical="center"/>
    </xf>
    <xf numFmtId="43" fontId="4" fillId="45" borderId="20" xfId="0" applyNumberFormat="1" applyFont="1" applyFill="1" applyBorder="1" applyAlignment="1">
      <alignment horizontal="right" vertical="center" wrapText="1"/>
    </xf>
    <xf numFmtId="43" fontId="15" fillId="28" borderId="19" xfId="0" applyNumberFormat="1" applyFont="1" applyFill="1" applyBorder="1" applyAlignment="1">
      <alignment horizontal="right" vertical="center" wrapText="1"/>
    </xf>
    <xf numFmtId="43" fontId="5" fillId="48" borderId="19" xfId="0" applyNumberFormat="1" applyFont="1" applyFill="1" applyBorder="1" applyAlignment="1">
      <alignment horizontal="right" vertical="center"/>
    </xf>
    <xf numFmtId="43" fontId="5" fillId="28" borderId="19" xfId="122" applyNumberFormat="1" applyFont="1" applyFill="1" applyBorder="1" applyAlignment="1">
      <alignment horizontal="right" vertical="center" wrapText="1"/>
    </xf>
    <xf numFmtId="43" fontId="13" fillId="48" borderId="20" xfId="0" applyNumberFormat="1" applyFont="1" applyFill="1" applyBorder="1" applyAlignment="1">
      <alignment horizontal="right" vertical="center" wrapText="1"/>
    </xf>
    <xf numFmtId="4" fontId="12" fillId="45" borderId="20" xfId="122" applyNumberFormat="1" applyFont="1" applyFill="1" applyBorder="1" applyAlignment="1">
      <alignment horizontal="right" vertical="center"/>
    </xf>
    <xf numFmtId="43" fontId="13" fillId="45" borderId="20" xfId="0" applyNumberFormat="1" applyFont="1" applyFill="1" applyBorder="1" applyAlignment="1">
      <alignment horizontal="right" vertical="center"/>
    </xf>
    <xf numFmtId="43" fontId="13" fillId="45" borderId="20" xfId="0" applyNumberFormat="1" applyFont="1" applyFill="1" applyBorder="1" applyAlignment="1">
      <alignment horizontal="right" vertical="center" wrapText="1"/>
    </xf>
    <xf numFmtId="4" fontId="13" fillId="45" borderId="20" xfId="122" applyNumberFormat="1" applyFont="1" applyFill="1" applyBorder="1" applyAlignment="1">
      <alignment horizontal="right" vertical="center"/>
    </xf>
    <xf numFmtId="171" fontId="13" fillId="45" borderId="20" xfId="122" applyFont="1" applyFill="1" applyBorder="1" applyAlignment="1">
      <alignment horizontal="center" vertical="center"/>
    </xf>
    <xf numFmtId="43" fontId="12" fillId="45" borderId="20" xfId="0" applyNumberFormat="1" applyFont="1" applyFill="1" applyBorder="1" applyAlignment="1">
      <alignment horizontal="right" vertical="center"/>
    </xf>
    <xf numFmtId="43" fontId="12" fillId="45" borderId="20" xfId="122" applyNumberFormat="1" applyFont="1" applyFill="1" applyBorder="1" applyAlignment="1">
      <alignment horizontal="right" vertical="center"/>
    </xf>
    <xf numFmtId="4" fontId="12" fillId="45" borderId="20" xfId="122" applyNumberFormat="1" applyFont="1" applyFill="1" applyBorder="1" applyAlignment="1">
      <alignment horizontal="right" vertical="center"/>
    </xf>
    <xf numFmtId="171" fontId="12" fillId="45" borderId="20" xfId="122" applyFont="1" applyFill="1" applyBorder="1" applyAlignment="1">
      <alignment horizontal="center" vertical="center"/>
    </xf>
    <xf numFmtId="4" fontId="4" fillId="48" borderId="20" xfId="122" applyNumberFormat="1" applyFont="1" applyFill="1" applyBorder="1" applyAlignment="1">
      <alignment horizontal="right" vertical="center"/>
    </xf>
    <xf numFmtId="43" fontId="5" fillId="48" borderId="20" xfId="0" applyNumberFormat="1" applyFont="1" applyFill="1" applyBorder="1" applyAlignment="1">
      <alignment horizontal="right" vertical="center"/>
    </xf>
    <xf numFmtId="43" fontId="5" fillId="48" borderId="20" xfId="122" applyNumberFormat="1" applyFont="1" applyFill="1" applyBorder="1" applyAlignment="1">
      <alignment horizontal="right" vertical="center"/>
    </xf>
    <xf numFmtId="171" fontId="4" fillId="48" borderId="20" xfId="122" applyFont="1" applyFill="1" applyBorder="1" applyAlignment="1">
      <alignment horizontal="center" vertical="center"/>
    </xf>
    <xf numFmtId="43" fontId="5" fillId="45" borderId="20" xfId="0" applyNumberFormat="1" applyFont="1" applyFill="1" applyBorder="1" applyAlignment="1">
      <alignment horizontal="right" vertical="center"/>
    </xf>
    <xf numFmtId="43" fontId="5" fillId="45" borderId="20" xfId="0" applyNumberFormat="1" applyFont="1" applyFill="1" applyBorder="1" applyAlignment="1">
      <alignment horizontal="right" vertical="center" wrapText="1"/>
    </xf>
    <xf numFmtId="4" fontId="5" fillId="45" borderId="20" xfId="122" applyNumberFormat="1" applyFont="1" applyFill="1" applyBorder="1" applyAlignment="1">
      <alignment horizontal="right" vertical="center"/>
    </xf>
    <xf numFmtId="178" fontId="4" fillId="45" borderId="20" xfId="122" applyNumberFormat="1" applyFont="1" applyFill="1" applyBorder="1" applyAlignment="1">
      <alignment horizontal="center" vertical="center"/>
    </xf>
    <xf numFmtId="171" fontId="5" fillId="45" borderId="20" xfId="122" applyFont="1" applyFill="1" applyBorder="1" applyAlignment="1">
      <alignment horizontal="center" vertical="center"/>
    </xf>
    <xf numFmtId="43" fontId="5" fillId="45" borderId="20" xfId="122" applyNumberFormat="1" applyFont="1" applyFill="1" applyBorder="1" applyAlignment="1">
      <alignment horizontal="right" vertical="center"/>
    </xf>
    <xf numFmtId="4" fontId="4" fillId="45" borderId="20" xfId="122" applyNumberFormat="1" applyFont="1" applyFill="1" applyBorder="1" applyAlignment="1">
      <alignment horizontal="right" vertical="center"/>
    </xf>
    <xf numFmtId="171" fontId="4" fillId="45" borderId="20" xfId="122" applyFont="1" applyFill="1" applyBorder="1" applyAlignment="1">
      <alignment horizontal="center" vertical="center"/>
    </xf>
    <xf numFmtId="43" fontId="4" fillId="45" borderId="20" xfId="0" applyNumberFormat="1" applyFont="1" applyFill="1" applyBorder="1" applyAlignment="1">
      <alignment horizontal="right" vertical="center" wrapText="1"/>
    </xf>
    <xf numFmtId="43" fontId="15" fillId="48" borderId="19" xfId="0" applyNumberFormat="1" applyFont="1" applyFill="1" applyBorder="1" applyAlignment="1">
      <alignment horizontal="right" vertical="center" wrapText="1"/>
    </xf>
    <xf numFmtId="43" fontId="12" fillId="48" borderId="20" xfId="0" applyNumberFormat="1" applyFont="1" applyFill="1" applyBorder="1" applyAlignment="1">
      <alignment horizontal="right" vertical="center" wrapText="1"/>
    </xf>
    <xf numFmtId="43" fontId="12" fillId="48" borderId="20" xfId="0" applyNumberFormat="1" applyFont="1" applyFill="1" applyBorder="1" applyAlignment="1">
      <alignment horizontal="right" vertical="center" wrapText="1"/>
    </xf>
    <xf numFmtId="43" fontId="13" fillId="48" borderId="20" xfId="122" applyNumberFormat="1" applyFont="1" applyFill="1" applyBorder="1" applyAlignment="1">
      <alignment horizontal="right" vertical="center"/>
    </xf>
    <xf numFmtId="43" fontId="5" fillId="48" borderId="19" xfId="0" applyNumberFormat="1" applyFont="1" applyFill="1" applyBorder="1" applyAlignment="1">
      <alignment horizontal="right" vertical="center" wrapText="1"/>
    </xf>
    <xf numFmtId="43" fontId="5" fillId="28" borderId="19" xfId="0" applyNumberFormat="1" applyFont="1" applyFill="1" applyBorder="1" applyAlignment="1">
      <alignment horizontal="right" vertical="center" wrapText="1"/>
    </xf>
    <xf numFmtId="43" fontId="5" fillId="48" borderId="19" xfId="0" applyNumberFormat="1" applyFont="1" applyFill="1" applyBorder="1" applyAlignment="1">
      <alignment horizontal="right" vertical="center" wrapText="1"/>
    </xf>
    <xf numFmtId="43" fontId="5" fillId="28" borderId="19" xfId="122" applyNumberFormat="1" applyFont="1" applyFill="1" applyBorder="1" applyAlignment="1">
      <alignment horizontal="right" vertical="center"/>
    </xf>
    <xf numFmtId="4" fontId="5" fillId="48" borderId="19" xfId="122" applyNumberFormat="1" applyFont="1" applyFill="1" applyBorder="1" applyAlignment="1">
      <alignment horizontal="right" vertical="center"/>
    </xf>
    <xf numFmtId="4" fontId="5" fillId="28" borderId="19" xfId="122" applyNumberFormat="1" applyFont="1" applyFill="1" applyBorder="1" applyAlignment="1">
      <alignment horizontal="right" vertical="center"/>
    </xf>
    <xf numFmtId="0" fontId="5" fillId="28" borderId="19" xfId="0" applyFont="1" applyFill="1" applyBorder="1" applyAlignment="1">
      <alignment horizontal="center" vertical="center" wrapText="1"/>
    </xf>
    <xf numFmtId="0" fontId="5" fillId="28" borderId="19" xfId="0" applyFont="1" applyFill="1" applyBorder="1" applyAlignment="1">
      <alignment horizontal="center" vertical="center" wrapText="1"/>
    </xf>
    <xf numFmtId="171" fontId="15" fillId="28" borderId="19" xfId="122" applyFont="1" applyFill="1" applyBorder="1" applyAlignment="1">
      <alignment horizontal="center" vertical="center"/>
    </xf>
    <xf numFmtId="43" fontId="4" fillId="48" borderId="35" xfId="0" applyNumberFormat="1" applyFont="1" applyFill="1" applyBorder="1" applyAlignment="1">
      <alignment horizontal="right" vertical="center" wrapText="1"/>
    </xf>
    <xf numFmtId="43" fontId="4" fillId="48" borderId="0" xfId="0" applyNumberFormat="1" applyFont="1" applyFill="1" applyBorder="1" applyAlignment="1">
      <alignment horizontal="right" vertical="center" wrapText="1"/>
    </xf>
    <xf numFmtId="43" fontId="4" fillId="48" borderId="0" xfId="0" applyNumberFormat="1" applyFont="1" applyFill="1" applyBorder="1" applyAlignment="1">
      <alignment horizontal="left" vertical="center"/>
    </xf>
    <xf numFmtId="43" fontId="5" fillId="48" borderId="0" xfId="0" applyNumberFormat="1" applyFont="1" applyFill="1" applyBorder="1" applyAlignment="1">
      <alignment horizontal="right" vertical="center" wrapText="1"/>
    </xf>
    <xf numFmtId="4" fontId="4" fillId="48" borderId="0" xfId="0" applyNumberFormat="1" applyFont="1" applyFill="1" applyBorder="1" applyAlignment="1">
      <alignment horizontal="center" vertical="center"/>
    </xf>
    <xf numFmtId="4" fontId="20" fillId="48" borderId="29" xfId="0" applyNumberFormat="1" applyFont="1" applyFill="1" applyBorder="1" applyAlignment="1">
      <alignment horizontal="right" vertical="center"/>
    </xf>
    <xf numFmtId="43" fontId="5" fillId="48" borderId="29" xfId="0" applyNumberFormat="1" applyFont="1" applyFill="1" applyBorder="1" applyAlignment="1">
      <alignment horizontal="right" vertical="center"/>
    </xf>
    <xf numFmtId="43" fontId="0" fillId="48" borderId="29" xfId="0" applyNumberFormat="1" applyFont="1" applyFill="1" applyBorder="1" applyAlignment="1">
      <alignment horizontal="right" vertical="center"/>
    </xf>
    <xf numFmtId="4" fontId="3" fillId="48" borderId="29" xfId="0" applyNumberFormat="1" applyFont="1" applyFill="1" applyBorder="1" applyAlignment="1">
      <alignment horizontal="right" vertical="center"/>
    </xf>
    <xf numFmtId="0" fontId="3" fillId="48" borderId="29" xfId="0" applyFont="1" applyFill="1" applyBorder="1" applyAlignment="1">
      <alignment horizontal="center" vertical="center"/>
    </xf>
    <xf numFmtId="4" fontId="20" fillId="0" borderId="0" xfId="0" applyNumberFormat="1" applyFont="1" applyAlignment="1">
      <alignment horizontal="right" vertical="center"/>
    </xf>
    <xf numFmtId="43" fontId="5" fillId="28" borderId="0" xfId="0" applyNumberFormat="1" applyFont="1" applyFill="1" applyAlignment="1">
      <alignment horizontal="right" vertical="center"/>
    </xf>
    <xf numFmtId="43" fontId="5" fillId="48" borderId="0" xfId="0" applyNumberFormat="1" applyFont="1" applyFill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" fontId="4" fillId="4" borderId="20" xfId="0" applyNumberFormat="1" applyFont="1" applyFill="1" applyBorder="1" applyAlignment="1">
      <alignment vertical="center"/>
    </xf>
    <xf numFmtId="4" fontId="4" fillId="45" borderId="20" xfId="0" applyNumberFormat="1" applyFont="1" applyFill="1" applyBorder="1" applyAlignment="1">
      <alignment vertical="center"/>
    </xf>
    <xf numFmtId="4" fontId="5" fillId="0" borderId="19" xfId="122" applyNumberFormat="1" applyFont="1" applyBorder="1" applyAlignment="1">
      <alignment vertical="center"/>
    </xf>
    <xf numFmtId="4" fontId="12" fillId="48" borderId="0" xfId="122" applyNumberFormat="1" applyFont="1" applyFill="1" applyBorder="1" applyAlignment="1">
      <alignment vertical="center"/>
    </xf>
    <xf numFmtId="4" fontId="4" fillId="4" borderId="20" xfId="122" applyNumberFormat="1" applyFont="1" applyFill="1" applyBorder="1" applyAlignment="1">
      <alignment vertical="center"/>
    </xf>
    <xf numFmtId="4" fontId="4" fillId="45" borderId="20" xfId="122" applyNumberFormat="1" applyFont="1" applyFill="1" applyBorder="1" applyAlignment="1">
      <alignment vertical="center"/>
    </xf>
    <xf numFmtId="4" fontId="12" fillId="48" borderId="20" xfId="122" applyNumberFormat="1" applyFont="1" applyFill="1" applyBorder="1" applyAlignment="1">
      <alignment vertical="center"/>
    </xf>
    <xf numFmtId="4" fontId="5" fillId="45" borderId="20" xfId="122" applyNumberFormat="1" applyFont="1" applyFill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13" fillId="45" borderId="20" xfId="122" applyNumberFormat="1" applyFont="1" applyFill="1" applyBorder="1" applyAlignment="1">
      <alignment vertical="center"/>
    </xf>
    <xf numFmtId="4" fontId="12" fillId="45" borderId="20" xfId="122" applyNumberFormat="1" applyFont="1" applyFill="1" applyBorder="1" applyAlignment="1">
      <alignment vertical="center"/>
    </xf>
    <xf numFmtId="4" fontId="4" fillId="48" borderId="20" xfId="122" applyNumberFormat="1" applyFont="1" applyFill="1" applyBorder="1" applyAlignment="1">
      <alignment vertical="center"/>
    </xf>
    <xf numFmtId="4" fontId="5" fillId="45" borderId="20" xfId="122" applyNumberFormat="1" applyFont="1" applyFill="1" applyBorder="1" applyAlignment="1">
      <alignment vertical="center"/>
    </xf>
    <xf numFmtId="4" fontId="4" fillId="45" borderId="20" xfId="122" applyNumberFormat="1" applyFont="1" applyFill="1" applyBorder="1" applyAlignment="1">
      <alignment vertical="center"/>
    </xf>
    <xf numFmtId="4" fontId="5" fillId="0" borderId="19" xfId="122" applyNumberFormat="1" applyFont="1" applyBorder="1" applyAlignment="1">
      <alignment vertical="center"/>
    </xf>
    <xf numFmtId="4" fontId="3" fillId="48" borderId="29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3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Fill="1" applyBorder="1" applyAlignment="1">
      <alignment horizontal="left" vertical="center" wrapText="1"/>
    </xf>
    <xf numFmtId="171" fontId="3" fillId="0" borderId="0" xfId="122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" fontId="5" fillId="0" borderId="37" xfId="0" applyNumberFormat="1" applyFont="1" applyFill="1" applyBorder="1" applyAlignment="1">
      <alignment horizontal="left" vertical="center" wrapText="1"/>
    </xf>
    <xf numFmtId="171" fontId="0" fillId="0" borderId="0" xfId="122" applyFont="1" applyFill="1" applyBorder="1" applyAlignment="1">
      <alignment horizontal="left" vertical="center" wrapText="1"/>
    </xf>
    <xf numFmtId="4" fontId="5" fillId="48" borderId="37" xfId="0" applyNumberFormat="1" applyFont="1" applyFill="1" applyBorder="1" applyAlignment="1">
      <alignment horizontal="left" vertical="center" wrapText="1"/>
    </xf>
    <xf numFmtId="171" fontId="3" fillId="48" borderId="0" xfId="122" applyFont="1" applyFill="1" applyBorder="1" applyAlignment="1">
      <alignment horizontal="left" vertical="center" wrapText="1"/>
    </xf>
    <xf numFmtId="4" fontId="0" fillId="48" borderId="0" xfId="0" applyNumberFormat="1" applyFill="1" applyBorder="1" applyAlignment="1">
      <alignment horizontal="left" vertical="center" wrapText="1"/>
    </xf>
    <xf numFmtId="4" fontId="5" fillId="4" borderId="37" xfId="0" applyNumberFormat="1" applyFont="1" applyFill="1" applyBorder="1" applyAlignment="1">
      <alignment horizontal="left" vertical="center" wrapText="1"/>
    </xf>
    <xf numFmtId="171" fontId="3" fillId="4" borderId="0" xfId="122" applyFont="1" applyFill="1" applyBorder="1" applyAlignment="1">
      <alignment horizontal="left" vertical="center" wrapText="1"/>
    </xf>
    <xf numFmtId="4" fontId="0" fillId="4" borderId="0" xfId="0" applyNumberFormat="1" applyFill="1" applyBorder="1" applyAlignment="1">
      <alignment horizontal="left" vertical="center" wrapText="1"/>
    </xf>
    <xf numFmtId="4" fontId="5" fillId="45" borderId="37" xfId="0" applyNumberFormat="1" applyFont="1" applyFill="1" applyBorder="1" applyAlignment="1">
      <alignment horizontal="left" vertical="center" wrapText="1"/>
    </xf>
    <xf numFmtId="171" fontId="3" fillId="45" borderId="0" xfId="122" applyFont="1" applyFill="1" applyBorder="1" applyAlignment="1">
      <alignment horizontal="left" vertical="center" wrapText="1"/>
    </xf>
    <xf numFmtId="4" fontId="0" fillId="45" borderId="0" xfId="0" applyNumberFormat="1" applyFill="1" applyBorder="1" applyAlignment="1">
      <alignment horizontal="left" vertical="center" wrapText="1"/>
    </xf>
    <xf numFmtId="171" fontId="0" fillId="45" borderId="0" xfId="122" applyFont="1" applyFill="1" applyBorder="1" applyAlignment="1">
      <alignment horizontal="left" vertical="center" wrapText="1"/>
    </xf>
    <xf numFmtId="4" fontId="0" fillId="45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4" fontId="0" fillId="48" borderId="0" xfId="0" applyNumberFormat="1" applyFont="1" applyFill="1" applyBorder="1" applyAlignment="1">
      <alignment horizontal="left" vertical="center" wrapText="1"/>
    </xf>
    <xf numFmtId="171" fontId="5" fillId="48" borderId="37" xfId="122" applyFont="1" applyFill="1" applyBorder="1" applyAlignment="1">
      <alignment horizontal="left" vertical="center" wrapText="1"/>
    </xf>
    <xf numFmtId="171" fontId="5" fillId="45" borderId="37" xfId="122" applyFont="1" applyFill="1" applyBorder="1" applyAlignment="1">
      <alignment horizontal="left" vertical="center" wrapText="1"/>
    </xf>
    <xf numFmtId="171" fontId="5" fillId="0" borderId="37" xfId="122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left" vertical="center" wrapText="1"/>
    </xf>
    <xf numFmtId="171" fontId="6" fillId="0" borderId="0" xfId="122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171" fontId="0" fillId="48" borderId="0" xfId="122" applyFont="1" applyFill="1" applyBorder="1" applyAlignment="1">
      <alignment horizontal="left" vertical="center" wrapText="1"/>
    </xf>
    <xf numFmtId="4" fontId="5" fillId="47" borderId="37" xfId="0" applyNumberFormat="1" applyFont="1" applyFill="1" applyBorder="1" applyAlignment="1">
      <alignment horizontal="left" vertical="center" wrapText="1"/>
    </xf>
    <xf numFmtId="171" fontId="3" fillId="47" borderId="0" xfId="122" applyFont="1" applyFill="1" applyBorder="1" applyAlignment="1">
      <alignment horizontal="left" vertical="center" wrapText="1"/>
    </xf>
    <xf numFmtId="4" fontId="0" fillId="47" borderId="0" xfId="0" applyNumberFormat="1" applyFill="1" applyBorder="1" applyAlignment="1">
      <alignment horizontal="left" vertical="center" wrapText="1"/>
    </xf>
    <xf numFmtId="171" fontId="7" fillId="0" borderId="0" xfId="122" applyFont="1" applyFill="1" applyBorder="1" applyAlignment="1">
      <alignment horizontal="left" vertical="center" wrapText="1"/>
    </xf>
    <xf numFmtId="4" fontId="5" fillId="43" borderId="37" xfId="0" applyNumberFormat="1" applyFont="1" applyFill="1" applyBorder="1" applyAlignment="1">
      <alignment horizontal="left" vertical="center" wrapText="1"/>
    </xf>
    <xf numFmtId="171" fontId="3" fillId="43" borderId="0" xfId="122" applyFont="1" applyFill="1" applyBorder="1" applyAlignment="1">
      <alignment horizontal="left" vertical="center" wrapText="1"/>
    </xf>
    <xf numFmtId="4" fontId="0" fillId="43" borderId="0" xfId="0" applyNumberForma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horizontal="center"/>
    </xf>
    <xf numFmtId="4" fontId="28" fillId="0" borderId="0" xfId="0" applyNumberFormat="1" applyFont="1" applyBorder="1" applyAlignment="1">
      <alignment horizontal="center"/>
    </xf>
    <xf numFmtId="4" fontId="29" fillId="0" borderId="0" xfId="0" applyNumberFormat="1" applyFont="1" applyAlignment="1">
      <alignment horizontal="center"/>
    </xf>
    <xf numFmtId="4" fontId="30" fillId="0" borderId="0" xfId="0" applyNumberFormat="1" applyFont="1" applyAlignment="1">
      <alignment/>
    </xf>
    <xf numFmtId="4" fontId="31" fillId="51" borderId="38" xfId="0" applyNumberFormat="1" applyFont="1" applyFill="1" applyBorder="1" applyAlignment="1" applyProtection="1">
      <alignment horizontal="center" vertical="center" wrapText="1"/>
      <protection locked="0"/>
    </xf>
    <xf numFmtId="4" fontId="32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4" fontId="33" fillId="0" borderId="0" xfId="0" applyNumberFormat="1" applyFont="1" applyAlignment="1">
      <alignment horizontal="center"/>
    </xf>
    <xf numFmtId="4" fontId="34" fillId="0" borderId="0" xfId="0" applyNumberFormat="1" applyFont="1" applyAlignment="1">
      <alignment/>
    </xf>
    <xf numFmtId="4" fontId="31" fillId="51" borderId="39" xfId="0" applyNumberFormat="1" applyFont="1" applyFill="1" applyBorder="1" applyAlignment="1" applyProtection="1">
      <alignment horizontal="center" vertical="center" wrapText="1"/>
      <protection locked="0"/>
    </xf>
    <xf numFmtId="4" fontId="35" fillId="0" borderId="0" xfId="0" applyNumberFormat="1" applyFont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4" fillId="0" borderId="0" xfId="0" applyNumberFormat="1" applyFont="1" applyAlignment="1">
      <alignment horizontal="center" vertical="center" wrapText="1"/>
    </xf>
    <xf numFmtId="0" fontId="36" fillId="0" borderId="0" xfId="0" applyNumberFormat="1" applyFont="1" applyAlignment="1">
      <alignment horizontal="center" vertical="center" wrapText="1"/>
    </xf>
    <xf numFmtId="4" fontId="36" fillId="0" borderId="0" xfId="0" applyNumberFormat="1" applyFont="1" applyAlignment="1">
      <alignment horizontal="center" vertical="center" wrapText="1"/>
    </xf>
    <xf numFmtId="4" fontId="31" fillId="51" borderId="40" xfId="0" applyNumberFormat="1" applyFont="1" applyFill="1" applyBorder="1" applyAlignment="1" applyProtection="1">
      <alignment horizontal="center" vertical="center" wrapText="1"/>
      <protection locked="0"/>
    </xf>
    <xf numFmtId="49" fontId="31" fillId="51" borderId="40" xfId="0" applyNumberFormat="1" applyFont="1" applyFill="1" applyBorder="1" applyAlignment="1" applyProtection="1">
      <alignment horizontal="center" vertical="center" wrapText="1"/>
      <protection locked="0"/>
    </xf>
    <xf numFmtId="0" fontId="31" fillId="51" borderId="40" xfId="0" applyNumberFormat="1" applyFont="1" applyFill="1" applyBorder="1" applyAlignment="1" applyProtection="1">
      <alignment horizontal="center" vertical="center"/>
      <protection locked="0"/>
    </xf>
    <xf numFmtId="4" fontId="31" fillId="51" borderId="41" xfId="0" applyNumberFormat="1" applyFont="1" applyFill="1" applyBorder="1" applyAlignment="1" applyProtection="1">
      <alignment horizontal="center" vertical="center" wrapText="1"/>
      <protection locked="0"/>
    </xf>
    <xf numFmtId="0" fontId="37" fillId="52" borderId="42" xfId="0" applyFont="1" applyFill="1" applyBorder="1" applyAlignment="1" applyProtection="1">
      <alignment horizontal="center" vertical="center" wrapText="1"/>
      <protection locked="0"/>
    </xf>
    <xf numFmtId="49" fontId="37" fillId="52" borderId="43" xfId="0" applyNumberFormat="1" applyFont="1" applyFill="1" applyBorder="1" applyAlignment="1" applyProtection="1">
      <alignment horizontal="center" vertical="center" wrapText="1"/>
      <protection locked="0"/>
    </xf>
    <xf numFmtId="4" fontId="37" fillId="52" borderId="44" xfId="0" applyNumberFormat="1" applyFont="1" applyFill="1" applyBorder="1" applyAlignment="1" applyProtection="1">
      <alignment horizontal="center" vertical="center" wrapText="1"/>
      <protection locked="0"/>
    </xf>
    <xf numFmtId="185" fontId="37" fillId="52" borderId="44" xfId="0" applyNumberFormat="1" applyFont="1" applyFill="1" applyBorder="1" applyAlignment="1" applyProtection="1">
      <alignment horizontal="center" vertical="center" wrapText="1"/>
      <protection locked="0"/>
    </xf>
    <xf numFmtId="0" fontId="37" fillId="52" borderId="44" xfId="0" applyFont="1" applyFill="1" applyBorder="1" applyAlignment="1" applyProtection="1">
      <alignment horizontal="center" vertical="center"/>
      <protection locked="0"/>
    </xf>
    <xf numFmtId="4" fontId="37" fillId="52" borderId="44" xfId="0" applyNumberFormat="1" applyFont="1" applyFill="1" applyBorder="1" applyAlignment="1" applyProtection="1">
      <alignment horizontal="center" vertical="center"/>
      <protection locked="0"/>
    </xf>
    <xf numFmtId="185" fontId="37" fillId="52" borderId="44" xfId="0" applyNumberFormat="1" applyFont="1" applyFill="1" applyBorder="1" applyAlignment="1" applyProtection="1">
      <alignment horizontal="center" vertical="center"/>
      <protection locked="0"/>
    </xf>
    <xf numFmtId="182" fontId="37" fillId="52" borderId="45" xfId="0" applyNumberFormat="1" applyFont="1" applyFill="1" applyBorder="1" applyAlignment="1" applyProtection="1">
      <alignment horizontal="center" vertical="center" wrapText="1"/>
      <protection locked="0"/>
    </xf>
    <xf numFmtId="185" fontId="37" fillId="48" borderId="0" xfId="0" applyNumberFormat="1" applyFont="1" applyFill="1" applyAlignment="1">
      <alignment horizontal="center" vertical="center" wrapText="1"/>
    </xf>
    <xf numFmtId="4" fontId="37" fillId="48" borderId="0" xfId="0" applyNumberFormat="1" applyFont="1" applyFill="1" applyAlignment="1">
      <alignment horizontal="center" vertical="center" wrapText="1"/>
    </xf>
    <xf numFmtId="0" fontId="37" fillId="48" borderId="0" xfId="0" applyFont="1" applyFill="1" applyAlignment="1">
      <alignment horizontal="center" vertical="center" wrapText="1"/>
    </xf>
    <xf numFmtId="182" fontId="37" fillId="48" borderId="0" xfId="0" applyNumberFormat="1" applyFont="1" applyFill="1" applyAlignment="1">
      <alignment horizontal="center" vertical="center" wrapText="1"/>
    </xf>
    <xf numFmtId="0" fontId="37" fillId="53" borderId="42" xfId="0" applyFont="1" applyFill="1" applyBorder="1" applyAlignment="1" applyProtection="1">
      <alignment horizontal="center" vertical="center" wrapText="1"/>
      <protection locked="0"/>
    </xf>
    <xf numFmtId="49" fontId="37" fillId="53" borderId="43" xfId="0" applyNumberFormat="1" applyFont="1" applyFill="1" applyBorder="1" applyAlignment="1" applyProtection="1">
      <alignment horizontal="center" vertical="center" wrapText="1"/>
      <protection locked="0"/>
    </xf>
    <xf numFmtId="4" fontId="37" fillId="53" borderId="44" xfId="0" applyNumberFormat="1" applyFont="1" applyFill="1" applyBorder="1" applyAlignment="1" applyProtection="1">
      <alignment horizontal="center" vertical="center" wrapText="1"/>
      <protection locked="0"/>
    </xf>
    <xf numFmtId="185" fontId="37" fillId="53" borderId="44" xfId="0" applyNumberFormat="1" applyFont="1" applyFill="1" applyBorder="1" applyAlignment="1" applyProtection="1">
      <alignment horizontal="center" vertical="center" wrapText="1"/>
      <protection locked="0"/>
    </xf>
    <xf numFmtId="0" fontId="37" fillId="53" borderId="44" xfId="0" applyFont="1" applyFill="1" applyBorder="1" applyAlignment="1" applyProtection="1">
      <alignment horizontal="center" vertical="center"/>
      <protection locked="0"/>
    </xf>
    <xf numFmtId="4" fontId="37" fillId="53" borderId="44" xfId="0" applyNumberFormat="1" applyFont="1" applyFill="1" applyBorder="1" applyAlignment="1" applyProtection="1">
      <alignment horizontal="center" vertical="center"/>
      <protection locked="0"/>
    </xf>
    <xf numFmtId="185" fontId="37" fillId="53" borderId="44" xfId="0" applyNumberFormat="1" applyFont="1" applyFill="1" applyBorder="1" applyAlignment="1" applyProtection="1">
      <alignment horizontal="center" vertical="center"/>
      <protection locked="0"/>
    </xf>
    <xf numFmtId="182" fontId="37" fillId="53" borderId="45" xfId="0" applyNumberFormat="1" applyFont="1" applyFill="1" applyBorder="1" applyAlignment="1" applyProtection="1">
      <alignment horizontal="center" vertical="center" wrapText="1"/>
      <protection locked="0"/>
    </xf>
    <xf numFmtId="185" fontId="37" fillId="28" borderId="0" xfId="0" applyNumberFormat="1" applyFont="1" applyFill="1" applyAlignment="1">
      <alignment horizontal="center" vertical="center" wrapText="1"/>
    </xf>
    <xf numFmtId="4" fontId="37" fillId="28" borderId="0" xfId="0" applyNumberFormat="1" applyFont="1" applyFill="1" applyAlignment="1">
      <alignment horizontal="center" vertical="center" wrapText="1"/>
    </xf>
    <xf numFmtId="0" fontId="37" fillId="28" borderId="0" xfId="0" applyFont="1" applyFill="1" applyAlignment="1">
      <alignment horizontal="center" vertical="center" wrapText="1"/>
    </xf>
    <xf numFmtId="182" fontId="37" fillId="28" borderId="0" xfId="0" applyNumberFormat="1" applyFont="1" applyFill="1" applyAlignment="1">
      <alignment horizontal="center" vertical="center" wrapText="1"/>
    </xf>
    <xf numFmtId="0" fontId="31" fillId="54" borderId="46" xfId="0" applyNumberFormat="1" applyFont="1" applyFill="1" applyBorder="1" applyAlignment="1" applyProtection="1">
      <alignment horizontal="center"/>
      <protection locked="0"/>
    </xf>
    <xf numFmtId="185" fontId="31" fillId="54" borderId="46" xfId="0" applyNumberFormat="1" applyFont="1" applyFill="1" applyBorder="1" applyAlignment="1" applyProtection="1">
      <alignment horizontal="center"/>
      <protection locked="0"/>
    </xf>
    <xf numFmtId="4" fontId="31" fillId="54" borderId="46" xfId="0" applyNumberFormat="1" applyFont="1" applyFill="1" applyBorder="1" applyAlignment="1" applyProtection="1">
      <alignment horizontal="center"/>
      <protection locked="0"/>
    </xf>
    <xf numFmtId="3" fontId="31" fillId="54" borderId="46" xfId="0" applyNumberFormat="1" applyFont="1" applyFill="1" applyBorder="1" applyAlignment="1" applyProtection="1">
      <alignment horizontal="center"/>
      <protection locked="0"/>
    </xf>
    <xf numFmtId="4" fontId="35" fillId="0" borderId="0" xfId="0" applyNumberFormat="1" applyFont="1" applyAlignment="1">
      <alignment/>
    </xf>
    <xf numFmtId="4" fontId="35" fillId="0" borderId="0" xfId="0" applyNumberFormat="1" applyFont="1" applyBorder="1" applyAlignment="1">
      <alignment/>
    </xf>
    <xf numFmtId="0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" fontId="38" fillId="0" borderId="0" xfId="0" applyNumberFormat="1" applyFont="1" applyBorder="1" applyAlignment="1">
      <alignment/>
    </xf>
    <xf numFmtId="4" fontId="39" fillId="0" borderId="0" xfId="0" applyNumberFormat="1" applyFont="1" applyAlignment="1">
      <alignment horizontal="center"/>
    </xf>
    <xf numFmtId="4" fontId="39" fillId="0" borderId="0" xfId="0" applyNumberFormat="1" applyFont="1" applyBorder="1" applyAlignment="1">
      <alignment horizontal="center"/>
    </xf>
    <xf numFmtId="4" fontId="27" fillId="0" borderId="0" xfId="0" applyNumberFormat="1" applyFont="1" applyAlignment="1">
      <alignment horizontal="center"/>
    </xf>
    <xf numFmtId="4" fontId="40" fillId="0" borderId="0" xfId="0" applyNumberFormat="1" applyFont="1" applyAlignment="1">
      <alignment/>
    </xf>
    <xf numFmtId="0" fontId="31" fillId="51" borderId="47" xfId="0" applyNumberFormat="1" applyFont="1" applyFill="1" applyBorder="1" applyAlignment="1" applyProtection="1">
      <alignment horizontal="center" vertical="center"/>
      <protection locked="0"/>
    </xf>
    <xf numFmtId="0" fontId="37" fillId="52" borderId="48" xfId="0" applyNumberFormat="1" applyFont="1" applyFill="1" applyBorder="1" applyAlignment="1" applyProtection="1">
      <alignment horizontal="center"/>
      <protection locked="0"/>
    </xf>
    <xf numFmtId="4" fontId="37" fillId="52" borderId="39" xfId="0" applyNumberFormat="1" applyFont="1" applyFill="1" applyBorder="1" applyAlignment="1" applyProtection="1">
      <alignment horizontal="center"/>
      <protection locked="0"/>
    </xf>
    <xf numFmtId="185" fontId="37" fillId="52" borderId="39" xfId="0" applyNumberFormat="1" applyFont="1" applyFill="1" applyBorder="1" applyAlignment="1" applyProtection="1">
      <alignment horizontal="center"/>
      <protection locked="0"/>
    </xf>
    <xf numFmtId="3" fontId="37" fillId="52" borderId="39" xfId="0" applyNumberFormat="1" applyFont="1" applyFill="1" applyBorder="1" applyAlignment="1" applyProtection="1">
      <alignment horizontal="center"/>
      <protection locked="0"/>
    </xf>
    <xf numFmtId="0" fontId="37" fillId="52" borderId="39" xfId="0" applyNumberFormat="1" applyFont="1" applyFill="1" applyBorder="1" applyAlignment="1" applyProtection="1">
      <alignment horizontal="center"/>
      <protection locked="0"/>
    </xf>
    <xf numFmtId="182" fontId="37" fillId="52" borderId="49" xfId="0" applyNumberFormat="1" applyFont="1" applyFill="1" applyBorder="1" applyAlignment="1" applyProtection="1">
      <alignment horizontal="center"/>
      <protection locked="0"/>
    </xf>
    <xf numFmtId="185" fontId="35" fillId="0" borderId="0" xfId="0" applyNumberFormat="1" applyFont="1" applyAlignment="1">
      <alignment horizontal="center"/>
    </xf>
    <xf numFmtId="185" fontId="35" fillId="53" borderId="0" xfId="0" applyNumberFormat="1" applyFont="1" applyFill="1" applyBorder="1" applyAlignment="1">
      <alignment horizontal="center"/>
    </xf>
    <xf numFmtId="0" fontId="37" fillId="53" borderId="48" xfId="0" applyNumberFormat="1" applyFont="1" applyFill="1" applyBorder="1" applyAlignment="1" applyProtection="1">
      <alignment horizontal="center"/>
      <protection locked="0"/>
    </xf>
    <xf numFmtId="4" fontId="37" fillId="53" borderId="39" xfId="0" applyNumberFormat="1" applyFont="1" applyFill="1" applyBorder="1" applyAlignment="1" applyProtection="1">
      <alignment horizontal="center"/>
      <protection locked="0"/>
    </xf>
    <xf numFmtId="185" fontId="37" fillId="53" borderId="39" xfId="0" applyNumberFormat="1" applyFont="1" applyFill="1" applyBorder="1" applyAlignment="1" applyProtection="1">
      <alignment horizontal="center"/>
      <protection locked="0"/>
    </xf>
    <xf numFmtId="3" fontId="37" fillId="53" borderId="39" xfId="0" applyNumberFormat="1" applyFont="1" applyFill="1" applyBorder="1" applyAlignment="1" applyProtection="1">
      <alignment horizontal="center"/>
      <protection locked="0"/>
    </xf>
    <xf numFmtId="0" fontId="37" fillId="53" borderId="39" xfId="0" applyNumberFormat="1" applyFont="1" applyFill="1" applyBorder="1" applyAlignment="1" applyProtection="1">
      <alignment horizontal="center"/>
      <protection locked="0"/>
    </xf>
    <xf numFmtId="182" fontId="37" fillId="53" borderId="49" xfId="0" applyNumberFormat="1" applyFont="1" applyFill="1" applyBorder="1" applyAlignment="1" applyProtection="1">
      <alignment horizontal="center"/>
      <protection locked="0"/>
    </xf>
    <xf numFmtId="0" fontId="31" fillId="54" borderId="40" xfId="0" applyNumberFormat="1" applyFont="1" applyFill="1" applyBorder="1" applyAlignment="1" applyProtection="1">
      <alignment horizontal="center"/>
      <protection locked="0"/>
    </xf>
    <xf numFmtId="185" fontId="31" fillId="54" borderId="40" xfId="0" applyNumberFormat="1" applyFont="1" applyFill="1" applyBorder="1" applyAlignment="1" applyProtection="1">
      <alignment horizontal="center"/>
      <protection locked="0"/>
    </xf>
    <xf numFmtId="4" fontId="31" fillId="54" borderId="40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Alignment="1">
      <alignment/>
    </xf>
    <xf numFmtId="182" fontId="34" fillId="0" borderId="0" xfId="0" applyNumberFormat="1" applyFont="1" applyAlignment="1">
      <alignment/>
    </xf>
    <xf numFmtId="3" fontId="31" fillId="54" borderId="40" xfId="0" applyNumberFormat="1" applyFont="1" applyFill="1" applyBorder="1" applyAlignment="1" applyProtection="1">
      <alignment horizontal="center"/>
      <protection locked="0"/>
    </xf>
    <xf numFmtId="4" fontId="31" fillId="54" borderId="40" xfId="0" applyNumberFormat="1" applyFont="1" applyFill="1" applyBorder="1" applyAlignment="1" applyProtection="1">
      <alignment horizontal="right"/>
      <protection locked="0"/>
    </xf>
    <xf numFmtId="182" fontId="31" fillId="54" borderId="41" xfId="0" applyNumberFormat="1" applyFont="1" applyFill="1" applyBorder="1" applyAlignment="1" applyProtection="1">
      <alignment horizontal="center"/>
      <protection locked="0"/>
    </xf>
    <xf numFmtId="0" fontId="37" fillId="53" borderId="50" xfId="0" applyNumberFormat="1" applyFont="1" applyFill="1" applyBorder="1" applyAlignment="1" applyProtection="1">
      <alignment horizontal="center"/>
      <protection locked="0"/>
    </xf>
    <xf numFmtId="4" fontId="37" fillId="53" borderId="51" xfId="0" applyNumberFormat="1" applyFont="1" applyFill="1" applyBorder="1" applyAlignment="1" applyProtection="1">
      <alignment horizontal="center"/>
      <protection locked="0"/>
    </xf>
    <xf numFmtId="185" fontId="37" fillId="53" borderId="51" xfId="0" applyNumberFormat="1" applyFont="1" applyFill="1" applyBorder="1" applyAlignment="1" applyProtection="1">
      <alignment horizontal="center"/>
      <protection locked="0"/>
    </xf>
    <xf numFmtId="3" fontId="37" fillId="53" borderId="51" xfId="0" applyNumberFormat="1" applyFont="1" applyFill="1" applyBorder="1" applyAlignment="1" applyProtection="1">
      <alignment horizontal="center"/>
      <protection locked="0"/>
    </xf>
    <xf numFmtId="0" fontId="37" fillId="53" borderId="51" xfId="0" applyNumberFormat="1" applyFont="1" applyFill="1" applyBorder="1" applyAlignment="1" applyProtection="1">
      <alignment horizontal="center"/>
      <protection locked="0"/>
    </xf>
    <xf numFmtId="182" fontId="37" fillId="53" borderId="52" xfId="0" applyNumberFormat="1" applyFont="1" applyFill="1" applyBorder="1" applyAlignment="1" applyProtection="1">
      <alignment horizontal="center"/>
      <protection locked="0"/>
    </xf>
    <xf numFmtId="4" fontId="34" fillId="0" borderId="0" xfId="0" applyNumberFormat="1" applyFont="1" applyBorder="1" applyAlignment="1">
      <alignment/>
    </xf>
    <xf numFmtId="4" fontId="34" fillId="52" borderId="0" xfId="0" applyNumberFormat="1" applyFont="1" applyFill="1" applyBorder="1" applyAlignment="1" applyProtection="1">
      <alignment horizontal="center"/>
      <protection locked="0"/>
    </xf>
    <xf numFmtId="4" fontId="34" fillId="0" borderId="0" xfId="0" applyNumberFormat="1" applyFont="1" applyBorder="1" applyAlignment="1">
      <alignment horizontal="center" vertical="center" wrapText="1"/>
    </xf>
    <xf numFmtId="0" fontId="31" fillId="51" borderId="40" xfId="0" applyFont="1" applyFill="1" applyBorder="1" applyAlignment="1" applyProtection="1">
      <alignment horizontal="center" vertical="center" wrapText="1"/>
      <protection locked="0"/>
    </xf>
    <xf numFmtId="0" fontId="34" fillId="28" borderId="0" xfId="0" applyNumberFormat="1" applyFont="1" applyFill="1" applyAlignment="1">
      <alignment/>
    </xf>
    <xf numFmtId="3" fontId="34" fillId="28" borderId="0" xfId="0" applyNumberFormat="1" applyFont="1" applyFill="1" applyAlignment="1">
      <alignment/>
    </xf>
    <xf numFmtId="4" fontId="34" fillId="28" borderId="0" xfId="0" applyNumberFormat="1" applyFont="1" applyFill="1" applyAlignment="1">
      <alignment/>
    </xf>
    <xf numFmtId="182" fontId="34" fillId="28" borderId="0" xfId="0" applyNumberFormat="1" applyFont="1" applyFill="1" applyAlignment="1">
      <alignment/>
    </xf>
    <xf numFmtId="0" fontId="34" fillId="48" borderId="0" xfId="0" applyNumberFormat="1" applyFont="1" applyFill="1" applyAlignment="1">
      <alignment/>
    </xf>
    <xf numFmtId="3" fontId="34" fillId="48" borderId="0" xfId="0" applyNumberFormat="1" applyFont="1" applyFill="1" applyAlignment="1">
      <alignment/>
    </xf>
    <xf numFmtId="4" fontId="34" fillId="48" borderId="0" xfId="0" applyNumberFormat="1" applyFont="1" applyFill="1" applyAlignment="1">
      <alignment/>
    </xf>
    <xf numFmtId="182" fontId="34" fillId="48" borderId="0" xfId="0" applyNumberFormat="1" applyFont="1" applyFill="1" applyAlignment="1">
      <alignment/>
    </xf>
    <xf numFmtId="4" fontId="30" fillId="0" borderId="0" xfId="0" applyNumberFormat="1" applyFont="1" applyBorder="1" applyAlignment="1">
      <alignment/>
    </xf>
    <xf numFmtId="0" fontId="43" fillId="55" borderId="53" xfId="0" applyFont="1" applyFill="1" applyBorder="1" applyAlignment="1">
      <alignment horizontal="center" vertical="center"/>
    </xf>
    <xf numFmtId="17" fontId="44" fillId="55" borderId="54" xfId="0" applyNumberFormat="1" applyFont="1" applyFill="1" applyBorder="1" applyAlignment="1">
      <alignment horizontal="center" vertical="center"/>
    </xf>
    <xf numFmtId="0" fontId="45" fillId="55" borderId="53" xfId="0" applyFont="1" applyFill="1" applyBorder="1" applyAlignment="1">
      <alignment horizontal="left"/>
    </xf>
    <xf numFmtId="4" fontId="13" fillId="54" borderId="54" xfId="0" applyNumberFormat="1" applyFont="1" applyFill="1" applyBorder="1" applyAlignment="1">
      <alignment horizontal="center"/>
    </xf>
    <xf numFmtId="4" fontId="13" fillId="54" borderId="54" xfId="0" applyNumberFormat="1" applyFont="1" applyFill="1" applyBorder="1" applyAlignment="1">
      <alignment horizontal="right"/>
    </xf>
    <xf numFmtId="182" fontId="13" fillId="54" borderId="54" xfId="0" applyNumberFormat="1" applyFont="1" applyFill="1" applyBorder="1" applyAlignment="1">
      <alignment horizontal="right"/>
    </xf>
    <xf numFmtId="182" fontId="13" fillId="54" borderId="55" xfId="0" applyNumberFormat="1" applyFont="1" applyFill="1" applyBorder="1" applyAlignment="1">
      <alignment horizontal="right"/>
    </xf>
    <xf numFmtId="182" fontId="13" fillId="54" borderId="56" xfId="0" applyNumberFormat="1" applyFont="1" applyFill="1" applyBorder="1" applyAlignment="1">
      <alignment horizontal="right"/>
    </xf>
    <xf numFmtId="4" fontId="13" fillId="54" borderId="54" xfId="0" applyNumberFormat="1" applyFont="1" applyFill="1" applyBorder="1" applyAlignment="1">
      <alignment/>
    </xf>
    <xf numFmtId="182" fontId="13" fillId="54" borderId="54" xfId="0" applyNumberFormat="1" applyFont="1" applyFill="1" applyBorder="1" applyAlignment="1">
      <alignment/>
    </xf>
    <xf numFmtId="4" fontId="12" fillId="54" borderId="54" xfId="0" applyNumberFormat="1" applyFont="1" applyFill="1" applyBorder="1" applyAlignment="1">
      <alignment/>
    </xf>
    <xf numFmtId="4" fontId="12" fillId="54" borderId="54" xfId="0" applyNumberFormat="1" applyFont="1" applyFill="1" applyBorder="1" applyAlignment="1">
      <alignment horizontal="right"/>
    </xf>
    <xf numFmtId="182" fontId="12" fillId="54" borderId="54" xfId="0" applyNumberFormat="1" applyFont="1" applyFill="1" applyBorder="1" applyAlignment="1">
      <alignment horizontal="right"/>
    </xf>
    <xf numFmtId="182" fontId="12" fillId="54" borderId="55" xfId="0" applyNumberFormat="1" applyFont="1" applyFill="1" applyBorder="1" applyAlignment="1">
      <alignment/>
    </xf>
    <xf numFmtId="182" fontId="12" fillId="54" borderId="56" xfId="0" applyNumberFormat="1" applyFont="1" applyFill="1" applyBorder="1" applyAlignment="1">
      <alignment/>
    </xf>
    <xf numFmtId="3" fontId="12" fillId="54" borderId="54" xfId="0" applyNumberFormat="1" applyFont="1" applyFill="1" applyBorder="1" applyAlignment="1">
      <alignment horizontal="center"/>
    </xf>
    <xf numFmtId="1" fontId="12" fillId="54" borderId="54" xfId="0" applyNumberFormat="1" applyFont="1" applyFill="1" applyBorder="1" applyAlignment="1">
      <alignment horizontal="center"/>
    </xf>
    <xf numFmtId="1" fontId="12" fillId="55" borderId="57" xfId="0" applyNumberFormat="1" applyFont="1" applyFill="1" applyBorder="1" applyAlignment="1">
      <alignment horizontal="right"/>
    </xf>
    <xf numFmtId="1" fontId="12" fillId="55" borderId="58" xfId="0" applyNumberFormat="1" applyFont="1" applyFill="1" applyBorder="1" applyAlignment="1">
      <alignment horizontal="right"/>
    </xf>
    <xf numFmtId="1" fontId="12" fillId="55" borderId="59" xfId="0" applyNumberFormat="1" applyFont="1" applyFill="1" applyBorder="1" applyAlignment="1">
      <alignment horizontal="right"/>
    </xf>
    <xf numFmtId="0" fontId="45" fillId="55" borderId="60" xfId="0" applyFont="1" applyFill="1" applyBorder="1" applyAlignment="1">
      <alignment horizontal="left"/>
    </xf>
    <xf numFmtId="1" fontId="12" fillId="54" borderId="61" xfId="0" applyNumberFormat="1" applyFont="1" applyFill="1" applyBorder="1" applyAlignment="1">
      <alignment horizontal="center"/>
    </xf>
    <xf numFmtId="1" fontId="12" fillId="54" borderId="62" xfId="0" applyNumberFormat="1" applyFont="1" applyFill="1" applyBorder="1" applyAlignment="1">
      <alignment horizontal="center"/>
    </xf>
    <xf numFmtId="4" fontId="12" fillId="54" borderId="63" xfId="0" applyNumberFormat="1" applyFont="1" applyFill="1" applyBorder="1" applyAlignment="1">
      <alignment/>
    </xf>
    <xf numFmtId="1" fontId="12" fillId="55" borderId="64" xfId="0" applyNumberFormat="1" applyFont="1" applyFill="1" applyBorder="1" applyAlignment="1">
      <alignment horizontal="right"/>
    </xf>
    <xf numFmtId="1" fontId="12" fillId="55" borderId="0" xfId="0" applyNumberFormat="1" applyFont="1" applyFill="1" applyBorder="1" applyAlignment="1">
      <alignment horizontal="right"/>
    </xf>
    <xf numFmtId="1" fontId="12" fillId="55" borderId="65" xfId="0" applyNumberFormat="1" applyFont="1" applyFill="1" applyBorder="1" applyAlignment="1">
      <alignment horizontal="right"/>
    </xf>
    <xf numFmtId="0" fontId="45" fillId="30" borderId="66" xfId="0" applyFont="1" applyFill="1" applyBorder="1" applyAlignment="1">
      <alignment/>
    </xf>
    <xf numFmtId="1" fontId="12" fillId="55" borderId="67" xfId="0" applyNumberFormat="1" applyFont="1" applyFill="1" applyBorder="1" applyAlignment="1">
      <alignment horizontal="center"/>
    </xf>
    <xf numFmtId="4" fontId="12" fillId="30" borderId="54" xfId="0" applyNumberFormat="1" applyFont="1" applyFill="1" applyBorder="1" applyAlignment="1">
      <alignment/>
    </xf>
    <xf numFmtId="0" fontId="42" fillId="30" borderId="68" xfId="0" applyFont="1" applyFill="1" applyBorder="1" applyAlignment="1">
      <alignment/>
    </xf>
    <xf numFmtId="1" fontId="21" fillId="55" borderId="67" xfId="0" applyNumberFormat="1" applyFont="1" applyFill="1" applyBorder="1" applyAlignment="1">
      <alignment horizontal="center"/>
    </xf>
    <xf numFmtId="1" fontId="21" fillId="55" borderId="69" xfId="0" applyNumberFormat="1" applyFont="1" applyFill="1" applyBorder="1" applyAlignment="1">
      <alignment horizontal="right"/>
    </xf>
    <xf numFmtId="1" fontId="21" fillId="55" borderId="67" xfId="0" applyNumberFormat="1" applyFont="1" applyFill="1" applyBorder="1" applyAlignment="1">
      <alignment horizontal="right"/>
    </xf>
    <xf numFmtId="1" fontId="21" fillId="55" borderId="70" xfId="0" applyNumberFormat="1" applyFont="1" applyFill="1" applyBorder="1" applyAlignment="1">
      <alignment horizontal="right"/>
    </xf>
    <xf numFmtId="4" fontId="30" fillId="48" borderId="0" xfId="0" applyNumberFormat="1" applyFont="1" applyFill="1" applyBorder="1" applyAlignment="1" applyProtection="1">
      <alignment/>
      <protection locked="0"/>
    </xf>
    <xf numFmtId="4" fontId="30" fillId="48" borderId="0" xfId="0" applyNumberFormat="1" applyFont="1" applyFill="1" applyBorder="1" applyAlignment="1" applyProtection="1">
      <alignment/>
      <protection locked="0"/>
    </xf>
    <xf numFmtId="4" fontId="30" fillId="48" borderId="71" xfId="0" applyNumberFormat="1" applyFont="1" applyFill="1" applyBorder="1" applyAlignment="1" applyProtection="1">
      <alignment/>
      <protection locked="0"/>
    </xf>
    <xf numFmtId="4" fontId="46" fillId="48" borderId="0" xfId="0" applyNumberFormat="1" applyFont="1" applyFill="1" applyBorder="1" applyAlignment="1" applyProtection="1">
      <alignment/>
      <protection locked="0"/>
    </xf>
    <xf numFmtId="4" fontId="47" fillId="48" borderId="0" xfId="0" applyNumberFormat="1" applyFont="1" applyFill="1" applyBorder="1" applyAlignment="1" applyProtection="1">
      <alignment/>
      <protection locked="0"/>
    </xf>
    <xf numFmtId="4" fontId="48" fillId="48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" fontId="31" fillId="51" borderId="40" xfId="0" applyNumberFormat="1" applyFont="1" applyFill="1" applyBorder="1" applyAlignment="1" applyProtection="1">
      <alignment horizontal="center" vertical="center"/>
      <protection locked="0"/>
    </xf>
    <xf numFmtId="4" fontId="37" fillId="53" borderId="39" xfId="0" applyNumberFormat="1" applyFont="1" applyFill="1" applyBorder="1" applyAlignment="1">
      <alignment horizontal="center"/>
    </xf>
    <xf numFmtId="1" fontId="37" fillId="53" borderId="51" xfId="0" applyNumberFormat="1" applyFont="1" applyFill="1" applyBorder="1" applyAlignment="1" applyProtection="1">
      <alignment horizontal="center"/>
      <protection locked="0"/>
    </xf>
    <xf numFmtId="37" fontId="37" fillId="53" borderId="51" xfId="0" applyNumberFormat="1" applyFont="1" applyFill="1" applyBorder="1" applyAlignment="1" applyProtection="1">
      <alignment horizontal="center"/>
      <protection locked="0"/>
    </xf>
    <xf numFmtId="39" fontId="37" fillId="53" borderId="51" xfId="0" applyNumberFormat="1" applyFont="1" applyFill="1" applyBorder="1" applyAlignment="1" applyProtection="1">
      <alignment horizontal="center"/>
      <protection locked="0"/>
    </xf>
    <xf numFmtId="2" fontId="37" fillId="53" borderId="51" xfId="0" applyNumberFormat="1" applyFont="1" applyFill="1" applyBorder="1" applyAlignment="1" applyProtection="1">
      <alignment horizontal="center"/>
      <protection locked="0"/>
    </xf>
    <xf numFmtId="188" fontId="37" fillId="53" borderId="52" xfId="0" applyNumberFormat="1" applyFont="1" applyFill="1" applyBorder="1" applyAlignment="1" applyProtection="1">
      <alignment horizontal="center"/>
      <protection locked="0"/>
    </xf>
    <xf numFmtId="0" fontId="37" fillId="28" borderId="0" xfId="0" applyNumberFormat="1" applyFont="1" applyFill="1" applyAlignment="1">
      <alignment/>
    </xf>
    <xf numFmtId="4" fontId="37" fillId="28" borderId="0" xfId="0" applyNumberFormat="1" applyFont="1" applyFill="1" applyAlignment="1">
      <alignment/>
    </xf>
    <xf numFmtId="182" fontId="37" fillId="28" borderId="0" xfId="0" applyNumberFormat="1" applyFont="1" applyFill="1" applyAlignment="1">
      <alignment/>
    </xf>
    <xf numFmtId="4" fontId="37" fillId="52" borderId="39" xfId="0" applyNumberFormat="1" applyFont="1" applyFill="1" applyBorder="1" applyAlignment="1">
      <alignment horizontal="center"/>
    </xf>
    <xf numFmtId="1" fontId="37" fillId="52" borderId="39" xfId="0" applyNumberFormat="1" applyFont="1" applyFill="1" applyBorder="1" applyAlignment="1" applyProtection="1">
      <alignment horizontal="center"/>
      <protection locked="0"/>
    </xf>
    <xf numFmtId="37" fontId="37" fillId="52" borderId="39" xfId="0" applyNumberFormat="1" applyFont="1" applyFill="1" applyBorder="1" applyAlignment="1" applyProtection="1">
      <alignment horizontal="center"/>
      <protection locked="0"/>
    </xf>
    <xf numFmtId="2" fontId="37" fillId="52" borderId="39" xfId="0" applyNumberFormat="1" applyFont="1" applyFill="1" applyBorder="1" applyAlignment="1" applyProtection="1">
      <alignment horizontal="center"/>
      <protection locked="0"/>
    </xf>
    <xf numFmtId="188" fontId="37" fillId="52" borderId="49" xfId="0" applyNumberFormat="1" applyFont="1" applyFill="1" applyBorder="1" applyAlignment="1" applyProtection="1">
      <alignment horizontal="center"/>
      <protection locked="0"/>
    </xf>
    <xf numFmtId="0" fontId="37" fillId="48" borderId="0" xfId="0" applyNumberFormat="1" applyFont="1" applyFill="1" applyAlignment="1">
      <alignment/>
    </xf>
    <xf numFmtId="4" fontId="37" fillId="48" borderId="0" xfId="0" applyNumberFormat="1" applyFont="1" applyFill="1" applyAlignment="1">
      <alignment/>
    </xf>
    <xf numFmtId="182" fontId="37" fillId="48" borderId="0" xfId="0" applyNumberFormat="1" applyFont="1" applyFill="1" applyAlignment="1">
      <alignment/>
    </xf>
    <xf numFmtId="4" fontId="46" fillId="0" borderId="0" xfId="0" applyNumberFormat="1" applyFont="1" applyAlignment="1">
      <alignment/>
    </xf>
    <xf numFmtId="178" fontId="5" fillId="48" borderId="19" xfId="122" applyNumberFormat="1" applyFont="1" applyFill="1" applyBorder="1" applyAlignment="1">
      <alignment horizontal="right" vertical="center"/>
    </xf>
    <xf numFmtId="4" fontId="5" fillId="28" borderId="19" xfId="0" applyNumberFormat="1" applyFont="1" applyFill="1" applyBorder="1" applyAlignment="1">
      <alignment horizontal="right" vertical="center"/>
    </xf>
    <xf numFmtId="171" fontId="5" fillId="28" borderId="19" xfId="122" applyFont="1" applyFill="1" applyBorder="1" applyAlignment="1">
      <alignment horizontal="right" vertical="center"/>
    </xf>
    <xf numFmtId="185" fontId="49" fillId="48" borderId="0" xfId="0" applyNumberFormat="1" applyFont="1" applyFill="1" applyBorder="1" applyAlignment="1">
      <alignment horizontal="center" vertical="center" wrapText="1"/>
    </xf>
    <xf numFmtId="185" fontId="49" fillId="28" borderId="0" xfId="0" applyNumberFormat="1" applyFont="1" applyFill="1" applyBorder="1" applyAlignment="1">
      <alignment horizontal="center" vertical="center" wrapText="1"/>
    </xf>
    <xf numFmtId="180" fontId="4" fillId="4" borderId="20" xfId="0" applyNumberFormat="1" applyFont="1" applyFill="1" applyBorder="1" applyAlignment="1">
      <alignment horizontal="center" vertical="center"/>
    </xf>
    <xf numFmtId="180" fontId="4" fillId="45" borderId="20" xfId="0" applyNumberFormat="1" applyFont="1" applyFill="1" applyBorder="1" applyAlignment="1">
      <alignment horizontal="center" vertical="center"/>
    </xf>
    <xf numFmtId="178" fontId="4" fillId="48" borderId="19" xfId="122" applyNumberFormat="1" applyFont="1" applyFill="1" applyBorder="1" applyAlignment="1">
      <alignment horizontal="center" vertical="center"/>
    </xf>
    <xf numFmtId="178" fontId="4" fillId="48" borderId="0" xfId="122" applyNumberFormat="1" applyFont="1" applyFill="1" applyBorder="1" applyAlignment="1">
      <alignment horizontal="center" vertical="center"/>
    </xf>
    <xf numFmtId="178" fontId="4" fillId="4" borderId="20" xfId="122" applyNumberFormat="1" applyFont="1" applyFill="1" applyBorder="1" applyAlignment="1">
      <alignment horizontal="center" vertical="center"/>
    </xf>
    <xf numFmtId="178" fontId="4" fillId="48" borderId="20" xfId="122" applyNumberFormat="1" applyFont="1" applyFill="1" applyBorder="1" applyAlignment="1">
      <alignment horizontal="center" vertical="center"/>
    </xf>
    <xf numFmtId="178" fontId="5" fillId="48" borderId="19" xfId="122" applyNumberFormat="1" applyFont="1" applyFill="1" applyBorder="1" applyAlignment="1">
      <alignment vertical="center"/>
    </xf>
    <xf numFmtId="178" fontId="5" fillId="48" borderId="19" xfId="122" applyNumberFormat="1" applyFont="1" applyFill="1" applyBorder="1" applyAlignment="1">
      <alignment horizontal="right" vertical="center"/>
    </xf>
    <xf numFmtId="180" fontId="4" fillId="48" borderId="0" xfId="0" applyNumberFormat="1" applyFont="1" applyFill="1" applyBorder="1" applyAlignment="1">
      <alignment horizontal="center" vertical="center"/>
    </xf>
    <xf numFmtId="180" fontId="2" fillId="48" borderId="29" xfId="0" applyNumberFormat="1" applyFont="1" applyFill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78" fontId="5" fillId="48" borderId="19" xfId="122" applyNumberFormat="1" applyFont="1" applyFill="1" applyBorder="1" applyAlignment="1">
      <alignment horizontal="center" vertical="center"/>
    </xf>
    <xf numFmtId="171" fontId="5" fillId="48" borderId="0" xfId="0" applyNumberFormat="1" applyFont="1" applyFill="1" applyBorder="1" applyAlignment="1">
      <alignment horizontal="right" wrapText="1"/>
    </xf>
    <xf numFmtId="0" fontId="51" fillId="0" borderId="0" xfId="91" applyNumberFormat="1" applyFont="1" applyBorder="1" applyAlignment="1">
      <alignment/>
      <protection/>
    </xf>
    <xf numFmtId="0" fontId="52" fillId="0" borderId="0" xfId="91" applyNumberFormat="1" applyFont="1">
      <alignment/>
      <protection/>
    </xf>
    <xf numFmtId="0" fontId="52" fillId="0" borderId="0" xfId="91" applyNumberFormat="1" applyFont="1" applyAlignment="1">
      <alignment horizontal="left"/>
      <protection/>
    </xf>
    <xf numFmtId="0" fontId="53" fillId="0" borderId="0" xfId="91" applyNumberFormat="1" applyFont="1" applyBorder="1" applyAlignment="1">
      <alignment horizontal="center"/>
      <protection/>
    </xf>
    <xf numFmtId="0" fontId="54" fillId="0" borderId="0" xfId="91" applyNumberFormat="1" applyFont="1">
      <alignment/>
      <protection/>
    </xf>
    <xf numFmtId="0" fontId="54" fillId="0" borderId="0" xfId="91" applyNumberFormat="1" applyFont="1" applyAlignment="1">
      <alignment horizontal="left"/>
      <protection/>
    </xf>
    <xf numFmtId="0" fontId="9" fillId="0" borderId="0" xfId="91" applyNumberFormat="1" applyFont="1" applyBorder="1" applyAlignment="1">
      <alignment horizontal="right" vertical="center"/>
      <protection/>
    </xf>
    <xf numFmtId="0" fontId="53" fillId="0" borderId="0" xfId="91" applyNumberFormat="1" applyFont="1">
      <alignment/>
      <protection/>
    </xf>
    <xf numFmtId="0" fontId="53" fillId="0" borderId="0" xfId="91" applyNumberFormat="1" applyFont="1" applyAlignment="1">
      <alignment horizontal="center" wrapText="1"/>
      <protection/>
    </xf>
    <xf numFmtId="0" fontId="53" fillId="0" borderId="0" xfId="91" applyNumberFormat="1" applyFont="1" applyAlignment="1">
      <alignment wrapText="1"/>
      <protection/>
    </xf>
    <xf numFmtId="0" fontId="54" fillId="0" borderId="0" xfId="91" applyNumberFormat="1" applyFont="1" applyFill="1" applyBorder="1" applyAlignment="1">
      <alignment horizontal="right" vertical="center"/>
      <protection/>
    </xf>
    <xf numFmtId="10" fontId="53" fillId="0" borderId="0" xfId="91" applyNumberFormat="1" applyFont="1" applyFill="1" applyBorder="1" applyAlignment="1">
      <alignment horizontal="left" vertical="center"/>
      <protection/>
    </xf>
    <xf numFmtId="0" fontId="53" fillId="0" borderId="0" xfId="91" applyNumberFormat="1" applyFont="1" applyFill="1" applyAlignment="1">
      <alignment horizontal="center"/>
      <protection/>
    </xf>
    <xf numFmtId="0" fontId="53" fillId="0" borderId="0" xfId="91" applyNumberFormat="1" applyFont="1" applyFill="1">
      <alignment/>
      <protection/>
    </xf>
    <xf numFmtId="0" fontId="0" fillId="0" borderId="0" xfId="83" applyFont="1" applyProtection="1">
      <alignment/>
      <protection/>
    </xf>
    <xf numFmtId="0" fontId="55" fillId="0" borderId="0" xfId="83" applyFont="1" applyProtection="1">
      <alignment/>
      <protection/>
    </xf>
    <xf numFmtId="0" fontId="56" fillId="0" borderId="0" xfId="83" applyFont="1" applyAlignment="1" applyProtection="1">
      <alignment/>
      <protection/>
    </xf>
    <xf numFmtId="0" fontId="20" fillId="0" borderId="0" xfId="83" applyFont="1" applyFill="1" applyAlignment="1" applyProtection="1">
      <alignment/>
      <protection/>
    </xf>
    <xf numFmtId="0" fontId="0" fillId="45" borderId="0" xfId="83" applyFont="1" applyFill="1" applyAlignment="1" applyProtection="1">
      <alignment/>
      <protection locked="0"/>
    </xf>
    <xf numFmtId="0" fontId="0" fillId="0" borderId="0" xfId="83" applyFont="1" applyAlignment="1" applyProtection="1">
      <alignment/>
      <protection/>
    </xf>
    <xf numFmtId="0" fontId="55" fillId="0" borderId="0" xfId="83" applyFont="1" applyAlignment="1" applyProtection="1">
      <alignment/>
      <protection/>
    </xf>
    <xf numFmtId="0" fontId="56" fillId="0" borderId="0" xfId="83" applyFont="1" applyAlignment="1" applyProtection="1">
      <alignment horizontal="center"/>
      <protection/>
    </xf>
    <xf numFmtId="0" fontId="56" fillId="0" borderId="0" xfId="83" applyFont="1" applyFill="1" applyAlignment="1" applyProtection="1">
      <alignment/>
      <protection/>
    </xf>
    <xf numFmtId="0" fontId="0" fillId="0" borderId="0" xfId="83" applyFont="1" applyAlignment="1" applyProtection="1">
      <alignment horizontal="center"/>
      <protection/>
    </xf>
    <xf numFmtId="0" fontId="0" fillId="0" borderId="0" xfId="83" applyFont="1" applyFill="1" applyAlignment="1" applyProtection="1">
      <alignment horizontal="center"/>
      <protection/>
    </xf>
    <xf numFmtId="0" fontId="56" fillId="0" borderId="0" xfId="83" applyFont="1" applyFill="1" applyAlignment="1" applyProtection="1">
      <alignment horizontal="center"/>
      <protection/>
    </xf>
    <xf numFmtId="0" fontId="0" fillId="0" borderId="0" xfId="83" applyFont="1" applyAlignment="1" applyProtection="1">
      <alignment horizontal="right"/>
      <protection/>
    </xf>
    <xf numFmtId="0" fontId="0" fillId="0" borderId="72" xfId="83" applyFont="1" applyBorder="1" applyAlignment="1" applyProtection="1">
      <alignment horizontal="justify" vertical="top" wrapText="1"/>
      <protection/>
    </xf>
    <xf numFmtId="0" fontId="0" fillId="0" borderId="73" xfId="83" applyFont="1" applyFill="1" applyBorder="1" applyAlignment="1" applyProtection="1">
      <alignment horizontal="center" vertical="top" wrapText="1"/>
      <protection/>
    </xf>
    <xf numFmtId="0" fontId="54" fillId="0" borderId="0" xfId="83" applyFont="1" applyBorder="1" applyAlignment="1" applyProtection="1">
      <alignment horizontal="center" wrapText="1"/>
      <protection/>
    </xf>
    <xf numFmtId="0" fontId="0" fillId="0" borderId="0" xfId="83" applyFont="1" applyBorder="1" applyProtection="1">
      <alignment/>
      <protection/>
    </xf>
    <xf numFmtId="0" fontId="57" fillId="0" borderId="74" xfId="83" applyFont="1" applyBorder="1" applyAlignment="1" applyProtection="1">
      <alignment horizontal="justify" vertical="top" wrapText="1"/>
      <protection/>
    </xf>
    <xf numFmtId="0" fontId="0" fillId="0" borderId="74" xfId="83" applyFont="1" applyFill="1" applyBorder="1" applyAlignment="1" applyProtection="1">
      <alignment horizontal="center" vertical="top" wrapText="1"/>
      <protection/>
    </xf>
    <xf numFmtId="0" fontId="0" fillId="0" borderId="0" xfId="83" applyFont="1" applyBorder="1" applyAlignment="1" applyProtection="1">
      <alignment horizontal="center"/>
      <protection/>
    </xf>
    <xf numFmtId="0" fontId="0" fillId="0" borderId="0" xfId="83" applyFont="1" applyFill="1" applyBorder="1" applyAlignment="1" applyProtection="1">
      <alignment horizontal="center"/>
      <protection/>
    </xf>
    <xf numFmtId="0" fontId="56" fillId="0" borderId="0" xfId="83" applyFont="1" applyBorder="1" applyAlignment="1" applyProtection="1">
      <alignment horizontal="center"/>
      <protection/>
    </xf>
    <xf numFmtId="0" fontId="56" fillId="0" borderId="0" xfId="83" applyFont="1" applyFill="1" applyBorder="1" applyAlignment="1" applyProtection="1">
      <alignment horizontal="center"/>
      <protection/>
    </xf>
    <xf numFmtId="0" fontId="20" fillId="0" borderId="72" xfId="83" applyFont="1" applyBorder="1" applyAlignment="1" applyProtection="1">
      <alignment horizontal="justify"/>
      <protection/>
    </xf>
    <xf numFmtId="2" fontId="20" fillId="0" borderId="75" xfId="83" applyNumberFormat="1" applyFont="1" applyBorder="1" applyAlignment="1" applyProtection="1">
      <alignment horizontal="center"/>
      <protection/>
    </xf>
    <xf numFmtId="0" fontId="20" fillId="0" borderId="73" xfId="83" applyFont="1" applyFill="1" applyBorder="1" applyAlignment="1" applyProtection="1">
      <alignment horizontal="center" vertical="top" wrapText="1"/>
      <protection/>
    </xf>
    <xf numFmtId="0" fontId="57" fillId="0" borderId="72" xfId="83" applyFont="1" applyBorder="1" applyAlignment="1" applyProtection="1">
      <alignment horizontal="left" vertical="top" wrapText="1" indent="2"/>
      <protection/>
    </xf>
    <xf numFmtId="2" fontId="0" fillId="0" borderId="73" xfId="83" applyNumberFormat="1" applyFont="1" applyFill="1" applyBorder="1" applyAlignment="1" applyProtection="1">
      <alignment horizontal="center" vertical="top" wrapText="1"/>
      <protection/>
    </xf>
    <xf numFmtId="10" fontId="60" fillId="0" borderId="0" xfId="95" applyNumberFormat="1" applyFont="1" applyBorder="1" applyAlignment="1" applyProtection="1">
      <alignment horizontal="left" vertical="center" wrapText="1"/>
      <protection/>
    </xf>
    <xf numFmtId="10" fontId="61" fillId="0" borderId="0" xfId="95" applyNumberFormat="1" applyFont="1" applyAlignment="1" applyProtection="1">
      <alignment/>
      <protection/>
    </xf>
    <xf numFmtId="201" fontId="61" fillId="0" borderId="0" xfId="95" applyNumberFormat="1" applyFont="1" applyAlignment="1" applyProtection="1">
      <alignment horizontal="center"/>
      <protection/>
    </xf>
    <xf numFmtId="0" fontId="0" fillId="0" borderId="0" xfId="83" applyFont="1" applyFill="1" applyProtection="1">
      <alignment/>
      <protection/>
    </xf>
    <xf numFmtId="0" fontId="5" fillId="0" borderId="0" xfId="83" applyFont="1" applyAlignment="1" applyProtection="1">
      <alignment horizontal="left"/>
      <protection/>
    </xf>
    <xf numFmtId="0" fontId="20" fillId="0" borderId="0" xfId="91" applyFont="1" applyFill="1" applyBorder="1" applyAlignment="1">
      <alignment vertical="center"/>
      <protection/>
    </xf>
    <xf numFmtId="0" fontId="3" fillId="0" borderId="0" xfId="91" applyFont="1" applyFill="1" applyBorder="1" applyAlignment="1">
      <alignment vertical="center"/>
      <protection/>
    </xf>
    <xf numFmtId="0" fontId="2" fillId="45" borderId="76" xfId="91" applyFont="1" applyFill="1" applyBorder="1" applyAlignment="1" applyProtection="1">
      <alignment horizontal="center" vertical="center"/>
      <protection locked="0"/>
    </xf>
    <xf numFmtId="0" fontId="3" fillId="45" borderId="0" xfId="91" applyFont="1" applyFill="1" applyBorder="1" applyAlignment="1" applyProtection="1">
      <alignment horizontal="center" vertical="center"/>
      <protection locked="0"/>
    </xf>
    <xf numFmtId="10" fontId="60" fillId="45" borderId="0" xfId="91" applyNumberFormat="1" applyFont="1" applyFill="1" applyBorder="1" applyAlignment="1" applyProtection="1">
      <alignment horizontal="left" vertical="center" wrapText="1"/>
      <protection locked="0"/>
    </xf>
    <xf numFmtId="43" fontId="4" fillId="28" borderId="77" xfId="0" applyNumberFormat="1" applyFont="1" applyFill="1" applyBorder="1" applyAlignment="1">
      <alignment horizontal="center" vertical="center"/>
    </xf>
    <xf numFmtId="43" fontId="5" fillId="48" borderId="19" xfId="0" applyNumberFormat="1" applyFont="1" applyFill="1" applyBorder="1" applyAlignment="1">
      <alignment vertical="center"/>
    </xf>
    <xf numFmtId="4" fontId="5" fillId="28" borderId="19" xfId="0" applyNumberFormat="1" applyFont="1" applyFill="1" applyBorder="1" applyAlignment="1">
      <alignment horizontal="center" vertical="center"/>
    </xf>
    <xf numFmtId="43" fontId="4" fillId="4" borderId="20" xfId="0" applyNumberFormat="1" applyFont="1" applyFill="1" applyBorder="1" applyAlignment="1">
      <alignment horizontal="right" vertical="center" wrapText="1"/>
    </xf>
    <xf numFmtId="2" fontId="0" fillId="45" borderId="75" xfId="83" applyNumberFormat="1" applyFont="1" applyFill="1" applyBorder="1" applyAlignment="1" applyProtection="1">
      <alignment horizontal="center" wrapText="1"/>
      <protection locked="0"/>
    </xf>
    <xf numFmtId="2" fontId="0" fillId="0" borderId="74" xfId="83" applyNumberFormat="1" applyFont="1" applyFill="1" applyBorder="1" applyAlignment="1" applyProtection="1">
      <alignment horizontal="center" wrapText="1"/>
      <protection/>
    </xf>
    <xf numFmtId="2" fontId="0" fillId="0" borderId="75" xfId="83" applyNumberFormat="1" applyFont="1" applyFill="1" applyBorder="1" applyAlignment="1" applyProtection="1">
      <alignment horizontal="center" wrapText="1"/>
      <protection/>
    </xf>
    <xf numFmtId="0" fontId="3" fillId="0" borderId="0" xfId="91" applyFont="1" applyFill="1" applyBorder="1" applyAlignment="1">
      <alignment/>
      <protection/>
    </xf>
    <xf numFmtId="0" fontId="13" fillId="48" borderId="0" xfId="0" applyFont="1" applyFill="1" applyBorder="1" applyAlignment="1">
      <alignment horizontal="center"/>
    </xf>
    <xf numFmtId="0" fontId="13" fillId="48" borderId="20" xfId="0" applyFont="1" applyFill="1" applyBorder="1" applyAlignment="1">
      <alignment horizontal="center"/>
    </xf>
    <xf numFmtId="0" fontId="12" fillId="48" borderId="20" xfId="0" applyFont="1" applyFill="1" applyBorder="1" applyAlignment="1">
      <alignment horizontal="center" wrapText="1"/>
    </xf>
    <xf numFmtId="0" fontId="11" fillId="49" borderId="26" xfId="90" applyFont="1" applyFill="1" applyBorder="1" applyAlignment="1">
      <alignment horizontal="center" wrapText="1"/>
      <protection/>
    </xf>
    <xf numFmtId="10" fontId="17" fillId="0" borderId="8" xfId="94" applyNumberFormat="1" applyFont="1" applyBorder="1" applyAlignment="1">
      <alignment horizontal="center" wrapText="1"/>
    </xf>
    <xf numFmtId="0" fontId="4" fillId="48" borderId="8" xfId="0" applyFont="1" applyFill="1" applyBorder="1" applyAlignment="1">
      <alignment wrapText="1"/>
    </xf>
    <xf numFmtId="0" fontId="0" fillId="48" borderId="28" xfId="0" applyFill="1" applyBorder="1" applyAlignment="1">
      <alignment/>
    </xf>
    <xf numFmtId="0" fontId="0" fillId="48" borderId="0" xfId="0" applyFill="1" applyBorder="1" applyAlignment="1">
      <alignment/>
    </xf>
    <xf numFmtId="0" fontId="0" fillId="0" borderId="0" xfId="0" applyAlignment="1">
      <alignment/>
    </xf>
    <xf numFmtId="0" fontId="20" fillId="0" borderId="0" xfId="83" applyFont="1" applyAlignment="1" applyProtection="1">
      <alignment horizontal="center" vertical="center"/>
      <protection/>
    </xf>
    <xf numFmtId="0" fontId="4" fillId="0" borderId="0" xfId="83" applyFont="1" applyAlignment="1" applyProtection="1">
      <alignment horizontal="center"/>
      <protection/>
    </xf>
    <xf numFmtId="0" fontId="4" fillId="0" borderId="0" xfId="0" applyFont="1" applyAlignment="1">
      <alignment/>
    </xf>
    <xf numFmtId="4" fontId="4" fillId="4" borderId="78" xfId="0" applyNumberFormat="1" applyFont="1" applyFill="1" applyBorder="1" applyAlignment="1">
      <alignment horizontal="left" vertical="center"/>
    </xf>
    <xf numFmtId="4" fontId="4" fillId="45" borderId="78" xfId="0" applyNumberFormat="1" applyFont="1" applyFill="1" applyBorder="1" applyAlignment="1">
      <alignment horizontal="left" vertical="center"/>
    </xf>
    <xf numFmtId="4" fontId="5" fillId="0" borderId="79" xfId="122" applyNumberFormat="1" applyFont="1" applyBorder="1" applyAlignment="1">
      <alignment horizontal="left" vertical="center"/>
    </xf>
    <xf numFmtId="4" fontId="12" fillId="48" borderId="80" xfId="122" applyNumberFormat="1" applyFont="1" applyFill="1" applyBorder="1" applyAlignment="1">
      <alignment horizontal="left" vertical="center"/>
    </xf>
    <xf numFmtId="4" fontId="4" fillId="4" borderId="78" xfId="122" applyNumberFormat="1" applyFont="1" applyFill="1" applyBorder="1" applyAlignment="1">
      <alignment horizontal="left" vertical="center"/>
    </xf>
    <xf numFmtId="4" fontId="4" fillId="45" borderId="78" xfId="122" applyNumberFormat="1" applyFont="1" applyFill="1" applyBorder="1" applyAlignment="1">
      <alignment horizontal="left" vertical="center"/>
    </xf>
    <xf numFmtId="4" fontId="5" fillId="48" borderId="79" xfId="0" applyNumberFormat="1" applyFont="1" applyFill="1" applyBorder="1" applyAlignment="1">
      <alignment horizontal="left"/>
    </xf>
    <xf numFmtId="4" fontId="12" fillId="48" borderId="78" xfId="122" applyNumberFormat="1" applyFont="1" applyFill="1" applyBorder="1" applyAlignment="1">
      <alignment horizontal="left" vertical="center"/>
    </xf>
    <xf numFmtId="4" fontId="5" fillId="45" borderId="78" xfId="122" applyNumberFormat="1" applyFont="1" applyFill="1" applyBorder="1" applyAlignment="1">
      <alignment horizontal="left" vertical="center"/>
    </xf>
    <xf numFmtId="4" fontId="5" fillId="0" borderId="79" xfId="0" applyNumberFormat="1" applyFont="1" applyBorder="1" applyAlignment="1">
      <alignment horizontal="left" vertical="center" wrapText="1"/>
    </xf>
    <xf numFmtId="4" fontId="5" fillId="0" borderId="79" xfId="0" applyNumberFormat="1" applyFont="1" applyBorder="1" applyAlignment="1">
      <alignment horizontal="justify" vertical="center" wrapText="1"/>
    </xf>
    <xf numFmtId="4" fontId="5" fillId="0" borderId="79" xfId="122" applyNumberFormat="1" applyFont="1" applyBorder="1" applyAlignment="1">
      <alignment horizontal="justify" vertical="center" wrapText="1"/>
    </xf>
    <xf numFmtId="4" fontId="13" fillId="45" borderId="78" xfId="122" applyNumberFormat="1" applyFont="1" applyFill="1" applyBorder="1" applyAlignment="1">
      <alignment horizontal="left" vertical="center"/>
    </xf>
    <xf numFmtId="4" fontId="12" fillId="45" borderId="78" xfId="122" applyNumberFormat="1" applyFont="1" applyFill="1" applyBorder="1" applyAlignment="1">
      <alignment horizontal="left" vertical="center"/>
    </xf>
    <xf numFmtId="4" fontId="5" fillId="0" borderId="78" xfId="122" applyNumberFormat="1" applyFont="1" applyBorder="1" applyAlignment="1">
      <alignment horizontal="left" vertical="center"/>
    </xf>
    <xf numFmtId="4" fontId="4" fillId="48" borderId="78" xfId="122" applyNumberFormat="1" applyFont="1" applyFill="1" applyBorder="1" applyAlignment="1">
      <alignment horizontal="left" vertical="center"/>
    </xf>
    <xf numFmtId="4" fontId="5" fillId="45" borderId="78" xfId="122" applyNumberFormat="1" applyFont="1" applyFill="1" applyBorder="1" applyAlignment="1">
      <alignment horizontal="left" vertical="center"/>
    </xf>
    <xf numFmtId="4" fontId="4" fillId="45" borderId="78" xfId="122" applyNumberFormat="1" applyFont="1" applyFill="1" applyBorder="1" applyAlignment="1">
      <alignment horizontal="left" vertical="center"/>
    </xf>
    <xf numFmtId="4" fontId="4" fillId="48" borderId="80" xfId="0" applyNumberFormat="1" applyFont="1" applyFill="1" applyBorder="1" applyAlignment="1">
      <alignment horizontal="left" vertical="center"/>
    </xf>
    <xf numFmtId="4" fontId="3" fillId="48" borderId="81" xfId="0" applyNumberFormat="1" applyFont="1" applyFill="1" applyBorder="1" applyAlignment="1">
      <alignment horizontal="left" vertical="center"/>
    </xf>
    <xf numFmtId="4" fontId="5" fillId="0" borderId="19" xfId="0" applyNumberFormat="1" applyFont="1" applyBorder="1" applyAlignment="1">
      <alignment vertical="center"/>
    </xf>
    <xf numFmtId="4" fontId="12" fillId="50" borderId="19" xfId="122" applyNumberFormat="1" applyFont="1" applyFill="1" applyBorder="1" applyAlignment="1">
      <alignment horizontal="right" vertical="center"/>
    </xf>
    <xf numFmtId="4" fontId="5" fillId="0" borderId="82" xfId="0" applyNumberFormat="1" applyFont="1" applyBorder="1" applyAlignment="1">
      <alignment vertical="center"/>
    </xf>
    <xf numFmtId="0" fontId="4" fillId="4" borderId="83" xfId="90" applyFont="1" applyFill="1" applyBorder="1" applyAlignment="1" applyProtection="1" quotePrefix="1">
      <alignment horizontal="center" vertical="center" wrapText="1"/>
      <protection locked="0"/>
    </xf>
    <xf numFmtId="4" fontId="67" fillId="0" borderId="0" xfId="0" applyNumberFormat="1" applyFont="1" applyAlignment="1">
      <alignment horizontal="center" vertical="center" wrapText="1"/>
    </xf>
    <xf numFmtId="4" fontId="67" fillId="0" borderId="0" xfId="0" applyNumberFormat="1" applyFont="1" applyBorder="1" applyAlignment="1">
      <alignment horizontal="center" vertical="center" wrapText="1"/>
    </xf>
    <xf numFmtId="185" fontId="67" fillId="48" borderId="0" xfId="0" applyNumberFormat="1" applyFont="1" applyFill="1" applyAlignment="1">
      <alignment horizontal="center"/>
    </xf>
    <xf numFmtId="185" fontId="67" fillId="52" borderId="0" xfId="0" applyNumberFormat="1" applyFont="1" applyFill="1" applyBorder="1" applyAlignment="1">
      <alignment horizontal="center"/>
    </xf>
    <xf numFmtId="185" fontId="67" fillId="53" borderId="0" xfId="0" applyNumberFormat="1" applyFont="1" applyFill="1" applyBorder="1" applyAlignment="1">
      <alignment horizontal="center"/>
    </xf>
    <xf numFmtId="185" fontId="67" fillId="28" borderId="0" xfId="0" applyNumberFormat="1" applyFont="1" applyFill="1" applyAlignment="1">
      <alignment horizontal="center"/>
    </xf>
    <xf numFmtId="185" fontId="67" fillId="0" borderId="0" xfId="0" applyNumberFormat="1" applyFont="1" applyAlignment="1">
      <alignment horizontal="center"/>
    </xf>
    <xf numFmtId="185" fontId="49" fillId="28" borderId="0" xfId="0" applyNumberFormat="1" applyFont="1" applyFill="1" applyAlignment="1">
      <alignment horizontal="center"/>
    </xf>
    <xf numFmtId="185" fontId="49" fillId="53" borderId="0" xfId="0" applyNumberFormat="1" applyFont="1" applyFill="1" applyBorder="1" applyAlignment="1">
      <alignment horizontal="center"/>
    </xf>
    <xf numFmtId="185" fontId="49" fillId="48" borderId="0" xfId="0" applyNumberFormat="1" applyFont="1" applyFill="1" applyAlignment="1">
      <alignment horizontal="center"/>
    </xf>
    <xf numFmtId="185" fontId="49" fillId="52" borderId="0" xfId="0" applyNumberFormat="1" applyFont="1" applyFill="1" applyBorder="1" applyAlignment="1">
      <alignment horizontal="center"/>
    </xf>
    <xf numFmtId="4" fontId="68" fillId="0" borderId="0" xfId="0" applyNumberFormat="1" applyFont="1" applyAlignment="1">
      <alignment/>
    </xf>
    <xf numFmtId="4" fontId="68" fillId="0" borderId="0" xfId="0" applyNumberFormat="1" applyFont="1" applyBorder="1" applyAlignment="1">
      <alignment/>
    </xf>
    <xf numFmtId="0" fontId="5" fillId="48" borderId="21" xfId="0" applyFont="1" applyFill="1" applyBorder="1" applyAlignment="1">
      <alignment horizontal="left" vertical="center"/>
    </xf>
    <xf numFmtId="0" fontId="5" fillId="48" borderId="19" xfId="0" applyFont="1" applyFill="1" applyBorder="1" applyAlignment="1">
      <alignment horizontal="justify" vertical="center" wrapText="1"/>
    </xf>
    <xf numFmtId="0" fontId="5" fillId="28" borderId="19" xfId="0" applyFont="1" applyFill="1" applyBorder="1" applyAlignment="1">
      <alignment horizontal="center" vertical="center"/>
    </xf>
    <xf numFmtId="0" fontId="5" fillId="48" borderId="21" xfId="0" applyFont="1" applyFill="1" applyBorder="1" applyAlignment="1">
      <alignment horizontal="left" vertical="top"/>
    </xf>
    <xf numFmtId="0" fontId="5" fillId="48" borderId="19" xfId="0" applyFont="1" applyFill="1" applyBorder="1" applyAlignment="1">
      <alignment horizontal="justify" wrapText="1"/>
    </xf>
    <xf numFmtId="0" fontId="5" fillId="0" borderId="19" xfId="0" applyFont="1" applyBorder="1" applyAlignment="1">
      <alignment horizontal="center" vertical="center"/>
    </xf>
    <xf numFmtId="171" fontId="5" fillId="48" borderId="19" xfId="122" applyFont="1" applyFill="1" applyBorder="1" applyAlignment="1">
      <alignment horizontal="center"/>
    </xf>
    <xf numFmtId="171" fontId="5" fillId="28" borderId="19" xfId="122" applyFont="1" applyFill="1" applyBorder="1" applyAlignment="1">
      <alignment horizontal="center" vertical="center"/>
    </xf>
    <xf numFmtId="4" fontId="4" fillId="48" borderId="20" xfId="122" applyNumberFormat="1" applyFont="1" applyFill="1" applyBorder="1" applyAlignment="1">
      <alignment horizontal="right" vertical="center"/>
    </xf>
    <xf numFmtId="171" fontId="4" fillId="48" borderId="20" xfId="122" applyFont="1" applyFill="1" applyBorder="1" applyAlignment="1">
      <alignment horizontal="center" vertical="center"/>
    </xf>
    <xf numFmtId="4" fontId="4" fillId="48" borderId="20" xfId="122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justify" vertical="center" wrapText="1"/>
    </xf>
    <xf numFmtId="43" fontId="5" fillId="28" borderId="19" xfId="0" applyNumberFormat="1" applyFont="1" applyFill="1" applyBorder="1" applyAlignment="1">
      <alignment horizontal="right" vertical="center"/>
    </xf>
    <xf numFmtId="43" fontId="5" fillId="48" borderId="19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top"/>
    </xf>
    <xf numFmtId="0" fontId="4" fillId="48" borderId="20" xfId="0" applyFont="1" applyFill="1" applyBorder="1" applyAlignment="1">
      <alignment horizontal="right" vertical="center" wrapText="1"/>
    </xf>
    <xf numFmtId="4" fontId="5" fillId="48" borderId="79" xfId="122" applyNumberFormat="1" applyFont="1" applyFill="1" applyBorder="1" applyAlignment="1">
      <alignment horizontal="justify" vertical="center" wrapText="1"/>
    </xf>
    <xf numFmtId="4" fontId="5" fillId="0" borderId="79" xfId="122" applyNumberFormat="1" applyFont="1" applyBorder="1" applyAlignment="1">
      <alignment horizontal="justify" vertical="justify" wrapText="1"/>
    </xf>
    <xf numFmtId="43" fontId="5" fillId="48" borderId="19" xfId="122" applyNumberFormat="1" applyFont="1" applyFill="1" applyBorder="1" applyAlignment="1">
      <alignment horizontal="right" vertical="center"/>
    </xf>
    <xf numFmtId="4" fontId="5" fillId="0" borderId="19" xfId="122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4" fontId="5" fillId="4" borderId="27" xfId="90" applyNumberFormat="1" applyFont="1" applyFill="1" applyBorder="1" applyAlignment="1">
      <alignment horizontal="center" vertical="center" wrapText="1"/>
      <protection/>
    </xf>
    <xf numFmtId="0" fontId="4" fillId="0" borderId="24" xfId="90" applyFont="1" applyBorder="1" applyAlignment="1" applyProtection="1" quotePrefix="1">
      <alignment horizontal="center" vertical="center" wrapText="1"/>
      <protection locked="0"/>
    </xf>
    <xf numFmtId="10" fontId="18" fillId="56" borderId="8" xfId="90" applyNumberFormat="1" applyFont="1" applyFill="1" applyBorder="1" applyAlignment="1">
      <alignment horizontal="center" vertical="center" wrapText="1"/>
      <protection/>
    </xf>
    <xf numFmtId="10" fontId="18" fillId="56" borderId="84" xfId="90" applyNumberFormat="1" applyFont="1" applyFill="1" applyBorder="1" applyAlignment="1">
      <alignment vertical="center" wrapText="1"/>
      <protection/>
    </xf>
    <xf numFmtId="10" fontId="18" fillId="56" borderId="8" xfId="90" applyNumberFormat="1" applyFont="1" applyFill="1" applyBorder="1" applyAlignment="1">
      <alignment vertical="center" wrapText="1"/>
      <protection/>
    </xf>
    <xf numFmtId="10" fontId="17" fillId="48" borderId="8" xfId="0" applyNumberFormat="1" applyFont="1" applyFill="1" applyBorder="1" applyAlignment="1">
      <alignment vertical="center" wrapText="1"/>
    </xf>
    <xf numFmtId="10" fontId="17" fillId="48" borderId="8" xfId="0" applyNumberFormat="1" applyFont="1" applyFill="1" applyBorder="1" applyAlignment="1">
      <alignment horizontal="center" vertical="center" wrapText="1"/>
    </xf>
    <xf numFmtId="0" fontId="17" fillId="48" borderId="8" xfId="0" applyFont="1" applyFill="1" applyBorder="1" applyAlignment="1">
      <alignment horizontal="center" vertical="center" wrapText="1"/>
    </xf>
    <xf numFmtId="4" fontId="17" fillId="48" borderId="8" xfId="0" applyNumberFormat="1" applyFont="1" applyFill="1" applyBorder="1" applyAlignment="1">
      <alignment horizontal="center" vertical="center" wrapText="1"/>
    </xf>
    <xf numFmtId="10" fontId="17" fillId="0" borderId="8" xfId="0" applyNumberFormat="1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  <xf numFmtId="10" fontId="17" fillId="48" borderId="8" xfId="0" applyNumberFormat="1" applyFont="1" applyFill="1" applyBorder="1" applyAlignment="1">
      <alignment horizontal="center" wrapText="1"/>
    </xf>
    <xf numFmtId="4" fontId="17" fillId="48" borderId="8" xfId="0" applyNumberFormat="1" applyFont="1" applyFill="1" applyBorder="1" applyAlignment="1">
      <alignment horizontal="center" wrapText="1"/>
    </xf>
    <xf numFmtId="10" fontId="17" fillId="0" borderId="8" xfId="0" applyNumberFormat="1" applyFont="1" applyBorder="1" applyAlignment="1">
      <alignment vertical="center"/>
    </xf>
    <xf numFmtId="4" fontId="17" fillId="0" borderId="8" xfId="0" applyNumberFormat="1" applyFont="1" applyBorder="1" applyAlignment="1">
      <alignment vertical="center"/>
    </xf>
    <xf numFmtId="4" fontId="17" fillId="48" borderId="8" xfId="0" applyNumberFormat="1" applyFont="1" applyFill="1" applyBorder="1" applyAlignment="1">
      <alignment vertical="center" wrapText="1"/>
    </xf>
    <xf numFmtId="10" fontId="17" fillId="48" borderId="8" xfId="90" applyNumberFormat="1" applyFont="1" applyFill="1" applyBorder="1" applyAlignment="1">
      <alignment horizontal="center" vertical="center" wrapText="1"/>
      <protection/>
    </xf>
    <xf numFmtId="4" fontId="17" fillId="48" borderId="8" xfId="90" applyNumberFormat="1" applyFont="1" applyFill="1" applyBorder="1" applyAlignment="1">
      <alignment horizontal="center" vertical="center" wrapText="1"/>
      <protection/>
    </xf>
    <xf numFmtId="10" fontId="17" fillId="0" borderId="8" xfId="90" applyNumberFormat="1" applyFont="1" applyFill="1" applyBorder="1" applyAlignment="1">
      <alignment horizontal="center" vertical="center" wrapText="1"/>
      <protection/>
    </xf>
    <xf numFmtId="0" fontId="5" fillId="28" borderId="85" xfId="0" applyFont="1" applyFill="1" applyBorder="1" applyAlignment="1">
      <alignment wrapText="1"/>
    </xf>
    <xf numFmtId="0" fontId="5" fillId="28" borderId="28" xfId="0" applyFont="1" applyFill="1" applyBorder="1" applyAlignment="1">
      <alignment wrapText="1"/>
    </xf>
    <xf numFmtId="0" fontId="5" fillId="28" borderId="86" xfId="0" applyFont="1" applyFill="1" applyBorder="1" applyAlignment="1">
      <alignment wrapText="1"/>
    </xf>
    <xf numFmtId="10" fontId="5" fillId="28" borderId="87" xfId="0" applyNumberFormat="1" applyFont="1" applyFill="1" applyBorder="1" applyAlignment="1">
      <alignment/>
    </xf>
    <xf numFmtId="0" fontId="5" fillId="28" borderId="88" xfId="0" applyFont="1" applyFill="1" applyBorder="1" applyAlignment="1">
      <alignment wrapText="1"/>
    </xf>
    <xf numFmtId="10" fontId="5" fillId="28" borderId="89" xfId="0" applyNumberFormat="1" applyFont="1" applyFill="1" applyBorder="1" applyAlignment="1">
      <alignment/>
    </xf>
    <xf numFmtId="10" fontId="20" fillId="45" borderId="0" xfId="91" applyNumberFormat="1" applyFont="1" applyFill="1" applyBorder="1" applyAlignment="1" applyProtection="1">
      <alignment horizontal="left" vertical="center" wrapText="1"/>
      <protection locked="0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43" fontId="3" fillId="0" borderId="91" xfId="123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43" fontId="3" fillId="0" borderId="90" xfId="123" applyFont="1" applyBorder="1" applyAlignment="1">
      <alignment vertical="center"/>
    </xf>
    <xf numFmtId="49" fontId="2" fillId="0" borderId="90" xfId="0" applyNumberFormat="1" applyFont="1" applyBorder="1" applyAlignment="1">
      <alignment horizontal="center" vertical="center" wrapText="1"/>
    </xf>
    <xf numFmtId="49" fontId="3" fillId="0" borderId="90" xfId="0" applyNumberFormat="1" applyFont="1" applyBorder="1" applyAlignment="1">
      <alignment horizontal="center" vertical="center" wrapText="1"/>
    </xf>
    <xf numFmtId="43" fontId="2" fillId="0" borderId="90" xfId="123" applyFont="1" applyBorder="1" applyAlignment="1">
      <alignment vertical="center"/>
    </xf>
    <xf numFmtId="43" fontId="3" fillId="0" borderId="90" xfId="123" applyFont="1" applyFill="1" applyBorder="1" applyAlignment="1">
      <alignment horizontal="left" vertical="center" wrapText="1"/>
    </xf>
    <xf numFmtId="43" fontId="3" fillId="0" borderId="0" xfId="123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3" fontId="2" fillId="0" borderId="90" xfId="123" applyFont="1" applyBorder="1" applyAlignment="1">
      <alignment horizontal="left" vertical="center" wrapText="1"/>
    </xf>
    <xf numFmtId="0" fontId="3" fillId="0" borderId="90" xfId="123" applyNumberFormat="1" applyFont="1" applyFill="1" applyBorder="1" applyAlignment="1">
      <alignment horizontal="left" vertical="center" wrapText="1"/>
    </xf>
    <xf numFmtId="0" fontId="3" fillId="0" borderId="90" xfId="123" applyNumberFormat="1" applyFont="1" applyBorder="1" applyAlignment="1">
      <alignment horizontal="left" vertical="center" wrapText="1"/>
    </xf>
    <xf numFmtId="0" fontId="2" fillId="0" borderId="90" xfId="0" applyFont="1" applyBorder="1" applyAlignment="1">
      <alignment vertical="center"/>
    </xf>
    <xf numFmtId="0" fontId="3" fillId="0" borderId="90" xfId="123" applyNumberFormat="1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wrapText="1"/>
    </xf>
    <xf numFmtId="0" fontId="3" fillId="0" borderId="90" xfId="0" applyFont="1" applyBorder="1" applyAlignment="1">
      <alignment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90" xfId="123" applyNumberFormat="1" applyFont="1" applyBorder="1" applyAlignment="1">
      <alignment horizontal="justify" vertical="center" wrapText="1"/>
    </xf>
    <xf numFmtId="49" fontId="3" fillId="0" borderId="90" xfId="123" applyNumberFormat="1" applyFont="1" applyFill="1" applyBorder="1" applyAlignment="1">
      <alignment horizontal="left" vertical="center" wrapText="1"/>
    </xf>
    <xf numFmtId="0" fontId="5" fillId="0" borderId="9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49" fontId="3" fillId="0" borderId="90" xfId="0" applyNumberFormat="1" applyFont="1" applyFill="1" applyBorder="1" applyAlignment="1">
      <alignment horizontal="center" vertical="center" wrapText="1"/>
    </xf>
    <xf numFmtId="43" fontId="3" fillId="48" borderId="90" xfId="123" applyFont="1" applyFill="1" applyBorder="1" applyAlignment="1">
      <alignment horizontal="center" vertical="center"/>
    </xf>
    <xf numFmtId="49" fontId="3" fillId="48" borderId="90" xfId="0" applyNumberFormat="1" applyFont="1" applyFill="1" applyBorder="1" applyAlignment="1">
      <alignment horizontal="center" vertical="center" wrapText="1"/>
    </xf>
    <xf numFmtId="0" fontId="3" fillId="0" borderId="90" xfId="123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 wrapText="1"/>
    </xf>
    <xf numFmtId="43" fontId="3" fillId="0" borderId="91" xfId="123" applyFont="1" applyBorder="1" applyAlignment="1">
      <alignment vertical="center"/>
    </xf>
    <xf numFmtId="2" fontId="3" fillId="0" borderId="90" xfId="123" applyNumberFormat="1" applyFont="1" applyFill="1" applyBorder="1" applyAlignment="1">
      <alignment horizontal="left" vertical="center" wrapText="1"/>
    </xf>
    <xf numFmtId="2" fontId="3" fillId="0" borderId="90" xfId="123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9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93" xfId="0" applyFont="1" applyBorder="1" applyAlignment="1">
      <alignment horizontal="center"/>
    </xf>
    <xf numFmtId="43" fontId="3" fillId="0" borderId="37" xfId="123" applyFont="1" applyFill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95" xfId="0" applyFont="1" applyBorder="1" applyAlignment="1">
      <alignment horizontal="justify" wrapText="1"/>
    </xf>
    <xf numFmtId="43" fontId="3" fillId="0" borderId="96" xfId="123" applyFont="1" applyBorder="1" applyAlignment="1">
      <alignment horizontal="center"/>
    </xf>
    <xf numFmtId="43" fontId="3" fillId="0" borderId="91" xfId="123" applyFont="1" applyBorder="1" applyAlignment="1">
      <alignment horizontal="left" vertical="center" wrapText="1"/>
    </xf>
    <xf numFmtId="2" fontId="3" fillId="0" borderId="90" xfId="123" applyNumberFormat="1" applyFont="1" applyFill="1" applyBorder="1" applyAlignment="1">
      <alignment vertical="center" wrapText="1"/>
    </xf>
    <xf numFmtId="49" fontId="3" fillId="0" borderId="91" xfId="0" applyNumberFormat="1" applyFont="1" applyBorder="1" applyAlignment="1">
      <alignment horizontal="center" vertical="center" wrapText="1"/>
    </xf>
    <xf numFmtId="0" fontId="3" fillId="0" borderId="90" xfId="123" applyNumberFormat="1" applyFont="1" applyBorder="1" applyAlignment="1">
      <alignment vertical="center" wrapText="1"/>
    </xf>
    <xf numFmtId="4" fontId="3" fillId="0" borderId="90" xfId="123" applyNumberFormat="1" applyFont="1" applyFill="1" applyBorder="1" applyAlignment="1">
      <alignment horizontal="justify" vertical="center"/>
    </xf>
    <xf numFmtId="4" fontId="3" fillId="0" borderId="90" xfId="0" applyNumberFormat="1" applyFont="1" applyBorder="1" applyAlignment="1">
      <alignment vertical="center" wrapText="1"/>
    </xf>
    <xf numFmtId="2" fontId="3" fillId="0" borderId="90" xfId="123" applyNumberFormat="1" applyFont="1" applyFill="1" applyBorder="1" applyAlignment="1">
      <alignment horizontal="justify" vertical="center"/>
    </xf>
    <xf numFmtId="49" fontId="3" fillId="0" borderId="97" xfId="0" applyNumberFormat="1" applyFont="1" applyBorder="1" applyAlignment="1">
      <alignment horizontal="center" vertical="center" wrapText="1"/>
    </xf>
    <xf numFmtId="0" fontId="3" fillId="0" borderId="90" xfId="123" applyNumberFormat="1" applyFont="1" applyFill="1" applyBorder="1" applyAlignment="1">
      <alignment horizontal="left" vertical="top" wrapText="1"/>
    </xf>
    <xf numFmtId="0" fontId="5" fillId="0" borderId="98" xfId="0" applyFont="1" applyBorder="1" applyAlignment="1">
      <alignment horizontal="center" vertical="center" wrapText="1"/>
    </xf>
    <xf numFmtId="2" fontId="3" fillId="0" borderId="91" xfId="123" applyNumberFormat="1" applyFont="1" applyBorder="1" applyAlignment="1">
      <alignment horizontal="left" vertical="center" wrapText="1"/>
    </xf>
    <xf numFmtId="4" fontId="3" fillId="0" borderId="90" xfId="0" applyNumberFormat="1" applyFont="1" applyBorder="1" applyAlignment="1">
      <alignment horizontal="right" vertical="center" wrapText="1"/>
    </xf>
    <xf numFmtId="49" fontId="3" fillId="56" borderId="90" xfId="0" applyNumberFormat="1" applyFont="1" applyFill="1" applyBorder="1" applyAlignment="1">
      <alignment horizontal="center" vertical="center" wrapText="1"/>
    </xf>
    <xf numFmtId="0" fontId="5" fillId="0" borderId="90" xfId="0" applyFont="1" applyBorder="1" applyAlignment="1">
      <alignment horizontal="center"/>
    </xf>
    <xf numFmtId="4" fontId="5" fillId="0" borderId="90" xfId="122" applyNumberFormat="1" applyFont="1" applyFill="1" applyBorder="1" applyAlignment="1">
      <alignment horizontal="right" vertical="center"/>
    </xf>
    <xf numFmtId="4" fontId="5" fillId="56" borderId="90" xfId="105" applyNumberFormat="1" applyFont="1" applyFill="1" applyBorder="1" applyAlignment="1" applyProtection="1">
      <alignment horizontal="right" vertical="center"/>
      <protection/>
    </xf>
    <xf numFmtId="4" fontId="9" fillId="56" borderId="90" xfId="105" applyNumberFormat="1" applyFont="1" applyFill="1" applyBorder="1" applyAlignment="1" applyProtection="1">
      <alignment horizontal="right" vertical="center"/>
      <protection/>
    </xf>
    <xf numFmtId="49" fontId="3" fillId="0" borderId="73" xfId="0" applyNumberFormat="1" applyFont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9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justify" vertical="center" wrapText="1"/>
    </xf>
    <xf numFmtId="0" fontId="3" fillId="0" borderId="74" xfId="0" applyFont="1" applyBorder="1" applyAlignment="1">
      <alignment horizontal="justify" vertical="center" wrapText="1"/>
    </xf>
    <xf numFmtId="0" fontId="3" fillId="0" borderId="73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Font="1" applyBorder="1" applyAlignment="1">
      <alignment/>
    </xf>
    <xf numFmtId="170" fontId="0" fillId="0" borderId="101" xfId="77" applyFont="1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170" fontId="0" fillId="0" borderId="104" xfId="77" applyFont="1" applyBorder="1" applyAlignment="1">
      <alignment/>
    </xf>
    <xf numFmtId="0" fontId="20" fillId="0" borderId="105" xfId="0" applyFont="1" applyBorder="1" applyAlignment="1">
      <alignment horizontal="center"/>
    </xf>
    <xf numFmtId="0" fontId="0" fillId="0" borderId="0" xfId="0" applyBorder="1" applyAlignment="1">
      <alignment/>
    </xf>
    <xf numFmtId="170" fontId="20" fillId="0" borderId="106" xfId="77" applyFont="1" applyBorder="1" applyAlignment="1">
      <alignment/>
    </xf>
    <xf numFmtId="0" fontId="85" fillId="0" borderId="90" xfId="0" applyFont="1" applyBorder="1" applyAlignment="1">
      <alignment/>
    </xf>
    <xf numFmtId="0" fontId="5" fillId="0" borderId="90" xfId="0" applyFont="1" applyBorder="1" applyAlignment="1">
      <alignment horizontal="left"/>
    </xf>
    <xf numFmtId="0" fontId="5" fillId="0" borderId="90" xfId="0" applyFont="1" applyBorder="1" applyAlignment="1">
      <alignment/>
    </xf>
    <xf numFmtId="4" fontId="4" fillId="0" borderId="93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left"/>
    </xf>
    <xf numFmtId="4" fontId="4" fillId="0" borderId="37" xfId="0" applyNumberFormat="1" applyFont="1" applyBorder="1" applyAlignment="1">
      <alignment horizontal="left"/>
    </xf>
    <xf numFmtId="0" fontId="5" fillId="0" borderId="90" xfId="0" applyFont="1" applyBorder="1" applyAlignment="1">
      <alignment horizontal="left" wrapText="1"/>
    </xf>
    <xf numFmtId="0" fontId="2" fillId="0" borderId="90" xfId="0" applyFont="1" applyBorder="1" applyAlignment="1">
      <alignment/>
    </xf>
    <xf numFmtId="0" fontId="3" fillId="0" borderId="90" xfId="0" applyFont="1" applyBorder="1" applyAlignment="1">
      <alignment/>
    </xf>
    <xf numFmtId="0" fontId="3" fillId="0" borderId="90" xfId="0" applyFont="1" applyBorder="1" applyAlignment="1">
      <alignment horizontal="center"/>
    </xf>
    <xf numFmtId="4" fontId="3" fillId="0" borderId="90" xfId="0" applyNumberFormat="1" applyFont="1" applyBorder="1" applyAlignment="1">
      <alignment horizontal="right"/>
    </xf>
    <xf numFmtId="4" fontId="3" fillId="0" borderId="90" xfId="0" applyNumberFormat="1" applyFont="1" applyBorder="1" applyAlignment="1">
      <alignment horizontal="center"/>
    </xf>
    <xf numFmtId="10" fontId="3" fillId="0" borderId="90" xfId="94" applyNumberFormat="1" applyFont="1" applyBorder="1" applyAlignment="1">
      <alignment horizontal="center"/>
    </xf>
    <xf numFmtId="4" fontId="3" fillId="0" borderId="90" xfId="0" applyNumberFormat="1" applyFont="1" applyBorder="1" applyAlignment="1">
      <alignment/>
    </xf>
    <xf numFmtId="4" fontId="2" fillId="0" borderId="90" xfId="0" applyNumberFormat="1" applyFont="1" applyBorder="1" applyAlignment="1">
      <alignment horizontal="right"/>
    </xf>
    <xf numFmtId="0" fontId="20" fillId="0" borderId="74" xfId="0" applyFont="1" applyBorder="1" applyAlignment="1">
      <alignment horizontal="center" vertical="center"/>
    </xf>
    <xf numFmtId="0" fontId="2" fillId="57" borderId="91" xfId="0" applyFont="1" applyFill="1" applyBorder="1" applyAlignment="1">
      <alignment horizontal="center" vertical="center"/>
    </xf>
    <xf numFmtId="171" fontId="2" fillId="57" borderId="91" xfId="122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/>
    </xf>
    <xf numFmtId="171" fontId="3" fillId="0" borderId="91" xfId="122" applyFont="1" applyBorder="1" applyAlignment="1">
      <alignment horizontal="center"/>
    </xf>
    <xf numFmtId="171" fontId="2" fillId="57" borderId="90" xfId="122" applyFont="1" applyFill="1" applyBorder="1" applyAlignment="1">
      <alignment horizontal="center" vertical="center"/>
    </xf>
    <xf numFmtId="171" fontId="2" fillId="56" borderId="90" xfId="122" applyFont="1" applyFill="1" applyBorder="1" applyAlignment="1">
      <alignment horizontal="center" vertical="center"/>
    </xf>
    <xf numFmtId="0" fontId="3" fillId="0" borderId="90" xfId="122" applyNumberFormat="1" applyFont="1" applyBorder="1" applyAlignment="1">
      <alignment horizontal="center" vertical="center"/>
    </xf>
    <xf numFmtId="171" fontId="3" fillId="0" borderId="90" xfId="122" applyFont="1" applyBorder="1" applyAlignment="1">
      <alignment vertical="center"/>
    </xf>
    <xf numFmtId="171" fontId="3" fillId="0" borderId="90" xfId="122" applyFont="1" applyBorder="1" applyAlignment="1">
      <alignment horizontal="center" vertical="center"/>
    </xf>
    <xf numFmtId="0" fontId="3" fillId="57" borderId="90" xfId="0" applyFont="1" applyFill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171" fontId="3" fillId="0" borderId="90" xfId="122" applyFont="1" applyBorder="1" applyAlignment="1">
      <alignment/>
    </xf>
    <xf numFmtId="171" fontId="3" fillId="0" borderId="0" xfId="122" applyFont="1" applyBorder="1" applyAlignment="1">
      <alignment vertical="center"/>
    </xf>
    <xf numFmtId="171" fontId="3" fillId="0" borderId="0" xfId="122" applyFont="1" applyBorder="1" applyAlignment="1">
      <alignment/>
    </xf>
    <xf numFmtId="171" fontId="3" fillId="0" borderId="0" xfId="122" applyFont="1" applyFill="1" applyBorder="1" applyAlignment="1">
      <alignment/>
    </xf>
    <xf numFmtId="0" fontId="20" fillId="0" borderId="107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171" fontId="2" fillId="57" borderId="110" xfId="122" applyFont="1" applyFill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171" fontId="3" fillId="0" borderId="110" xfId="122" applyFont="1" applyBorder="1" applyAlignment="1">
      <alignment horizontal="center"/>
    </xf>
    <xf numFmtId="171" fontId="2" fillId="56" borderId="101" xfId="122" applyFont="1" applyFill="1" applyBorder="1" applyAlignment="1">
      <alignment horizontal="center" vertical="center"/>
    </xf>
    <xf numFmtId="171" fontId="3" fillId="0" borderId="101" xfId="122" applyFont="1" applyBorder="1" applyAlignment="1">
      <alignment vertical="center"/>
    </xf>
    <xf numFmtId="171" fontId="3" fillId="0" borderId="101" xfId="122" applyFont="1" applyBorder="1" applyAlignment="1">
      <alignment horizontal="center" vertical="center"/>
    </xf>
    <xf numFmtId="171" fontId="3" fillId="0" borderId="101" xfId="122" applyFont="1" applyBorder="1" applyAlignment="1">
      <alignment/>
    </xf>
    <xf numFmtId="0" fontId="3" fillId="0" borderId="105" xfId="0" applyFont="1" applyBorder="1" applyAlignment="1">
      <alignment horizontal="center" vertical="center"/>
    </xf>
    <xf numFmtId="171" fontId="3" fillId="0" borderId="101" xfId="122" applyFont="1" applyFill="1" applyBorder="1" applyAlignment="1">
      <alignment/>
    </xf>
    <xf numFmtId="0" fontId="3" fillId="57" borderId="101" xfId="122" applyNumberFormat="1" applyFont="1" applyFill="1" applyBorder="1" applyAlignment="1">
      <alignment horizontal="center" vertical="center"/>
    </xf>
    <xf numFmtId="4" fontId="2" fillId="57" borderId="101" xfId="0" applyNumberFormat="1" applyFont="1" applyFill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71" fontId="3" fillId="0" borderId="100" xfId="122" applyFont="1" applyBorder="1" applyAlignment="1">
      <alignment vertical="center"/>
    </xf>
    <xf numFmtId="0" fontId="0" fillId="0" borderId="9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1" fontId="3" fillId="0" borderId="100" xfId="122" applyFont="1" applyBorder="1" applyAlignment="1">
      <alignment/>
    </xf>
    <xf numFmtId="0" fontId="3" fillId="0" borderId="99" xfId="0" applyFont="1" applyBorder="1" applyAlignment="1">
      <alignment horizontal="left" wrapText="1"/>
    </xf>
    <xf numFmtId="0" fontId="3" fillId="0" borderId="99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71" fontId="3" fillId="0" borderId="100" xfId="122" applyFont="1" applyFill="1" applyBorder="1" applyAlignment="1">
      <alignment/>
    </xf>
    <xf numFmtId="0" fontId="3" fillId="0" borderId="102" xfId="0" applyFont="1" applyBorder="1" applyAlignment="1">
      <alignment horizontal="center"/>
    </xf>
    <xf numFmtId="49" fontId="3" fillId="0" borderId="103" xfId="0" applyNumberFormat="1" applyFont="1" applyBorder="1" applyAlignment="1">
      <alignment horizontal="center"/>
    </xf>
    <xf numFmtId="0" fontId="3" fillId="0" borderId="103" xfId="0" applyFont="1" applyBorder="1" applyAlignment="1">
      <alignment horizontal="justify" wrapText="1"/>
    </xf>
    <xf numFmtId="0" fontId="2" fillId="0" borderId="107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108" xfId="0" applyFont="1" applyBorder="1" applyAlignment="1">
      <alignment vertical="center"/>
    </xf>
    <xf numFmtId="0" fontId="20" fillId="0" borderId="111" xfId="0" applyFont="1" applyBorder="1" applyAlignment="1">
      <alignment horizontal="center" vertical="center"/>
    </xf>
    <xf numFmtId="0" fontId="0" fillId="0" borderId="74" xfId="0" applyFont="1" applyBorder="1" applyAlignment="1">
      <alignment vertical="center"/>
    </xf>
    <xf numFmtId="0" fontId="0" fillId="0" borderId="95" xfId="0" applyFont="1" applyBorder="1" applyAlignment="1">
      <alignment horizontal="center" vertical="center"/>
    </xf>
    <xf numFmtId="171" fontId="3" fillId="0" borderId="103" xfId="122" applyFont="1" applyBorder="1" applyAlignment="1">
      <alignment/>
    </xf>
    <xf numFmtId="171" fontId="3" fillId="0" borderId="112" xfId="122" applyFont="1" applyBorder="1" applyAlignment="1">
      <alignment/>
    </xf>
    <xf numFmtId="0" fontId="20" fillId="0" borderId="0" xfId="84" applyFont="1" applyAlignment="1" applyProtection="1">
      <alignment wrapText="1"/>
      <protection/>
    </xf>
    <xf numFmtId="0" fontId="55" fillId="0" borderId="0" xfId="84" applyFont="1" applyAlignment="1" applyProtection="1">
      <alignment wrapText="1"/>
      <protection/>
    </xf>
    <xf numFmtId="0" fontId="56" fillId="0" borderId="0" xfId="84" applyFont="1" applyAlignment="1" applyProtection="1">
      <alignment wrapText="1"/>
      <protection/>
    </xf>
    <xf numFmtId="0" fontId="20" fillId="0" borderId="0" xfId="84" applyFont="1" applyAlignment="1" applyProtection="1">
      <alignment horizontal="center" wrapText="1"/>
      <protection/>
    </xf>
    <xf numFmtId="0" fontId="20" fillId="0" borderId="0" xfId="84" applyFont="1" applyFill="1" applyAlignment="1" applyProtection="1">
      <alignment wrapText="1"/>
      <protection/>
    </xf>
    <xf numFmtId="0" fontId="0" fillId="0" borderId="0" xfId="84" applyFont="1" applyAlignment="1" applyProtection="1">
      <alignment wrapText="1"/>
      <protection/>
    </xf>
    <xf numFmtId="0" fontId="0" fillId="45" borderId="0" xfId="84" applyFont="1" applyFill="1" applyAlignment="1" applyProtection="1">
      <alignment wrapText="1"/>
      <protection locked="0"/>
    </xf>
    <xf numFmtId="0" fontId="56" fillId="0" borderId="0" xfId="84" applyFont="1" applyAlignment="1" applyProtection="1">
      <alignment horizontal="center" wrapText="1"/>
      <protection/>
    </xf>
    <xf numFmtId="0" fontId="56" fillId="0" borderId="0" xfId="84" applyFont="1" applyFill="1" applyAlignment="1" applyProtection="1">
      <alignment wrapText="1"/>
      <protection/>
    </xf>
    <xf numFmtId="0" fontId="0" fillId="0" borderId="0" xfId="84" applyFont="1" applyAlignment="1" applyProtection="1">
      <alignment horizontal="center" wrapText="1"/>
      <protection/>
    </xf>
    <xf numFmtId="0" fontId="0" fillId="0" borderId="0" xfId="84" applyFont="1" applyFill="1" applyAlignment="1" applyProtection="1">
      <alignment horizontal="center" wrapText="1"/>
      <protection/>
    </xf>
    <xf numFmtId="0" fontId="56" fillId="0" borderId="0" xfId="84" applyFont="1" applyFill="1" applyAlignment="1" applyProtection="1">
      <alignment horizontal="center" wrapText="1"/>
      <protection/>
    </xf>
    <xf numFmtId="0" fontId="0" fillId="0" borderId="0" xfId="84" applyFont="1" applyAlignment="1" applyProtection="1">
      <alignment horizontal="right" wrapText="1"/>
      <protection/>
    </xf>
    <xf numFmtId="0" fontId="0" fillId="0" borderId="72" xfId="84" applyFont="1" applyBorder="1" applyAlignment="1" applyProtection="1">
      <alignment horizontal="justify" vertical="top" wrapText="1"/>
      <protection/>
    </xf>
    <xf numFmtId="2" fontId="0" fillId="45" borderId="75" xfId="84" applyNumberFormat="1" applyFont="1" applyFill="1" applyBorder="1" applyAlignment="1" applyProtection="1">
      <alignment horizontal="center" vertical="top" wrapText="1"/>
      <protection locked="0"/>
    </xf>
    <xf numFmtId="0" fontId="0" fillId="0" borderId="73" xfId="84" applyFont="1" applyFill="1" applyBorder="1" applyAlignment="1" applyProtection="1">
      <alignment horizontal="center" vertical="top" wrapText="1"/>
      <protection/>
    </xf>
    <xf numFmtId="0" fontId="0" fillId="0" borderId="0" xfId="84" applyFont="1" applyBorder="1" applyAlignment="1" applyProtection="1">
      <alignment wrapText="1"/>
      <protection/>
    </xf>
    <xf numFmtId="0" fontId="57" fillId="0" borderId="74" xfId="84" applyFont="1" applyBorder="1" applyAlignment="1" applyProtection="1">
      <alignment horizontal="justify" vertical="top" wrapText="1"/>
      <protection/>
    </xf>
    <xf numFmtId="2" fontId="0" fillId="0" borderId="74" xfId="84" applyNumberFormat="1" applyFont="1" applyFill="1" applyBorder="1" applyAlignment="1" applyProtection="1">
      <alignment horizontal="center" vertical="top" wrapText="1"/>
      <protection/>
    </xf>
    <xf numFmtId="0" fontId="0" fillId="0" borderId="74" xfId="84" applyFont="1" applyFill="1" applyBorder="1" applyAlignment="1" applyProtection="1">
      <alignment horizontal="center" vertical="top" wrapText="1"/>
      <protection/>
    </xf>
    <xf numFmtId="0" fontId="0" fillId="0" borderId="0" xfId="84" applyFont="1" applyBorder="1" applyAlignment="1" applyProtection="1">
      <alignment horizontal="center" wrapText="1"/>
      <protection/>
    </xf>
    <xf numFmtId="0" fontId="0" fillId="0" borderId="0" xfId="84" applyFont="1" applyFill="1" applyBorder="1" applyAlignment="1" applyProtection="1">
      <alignment horizontal="center" wrapText="1"/>
      <protection/>
    </xf>
    <xf numFmtId="0" fontId="20" fillId="0" borderId="72" xfId="84" applyFont="1" applyBorder="1" applyAlignment="1" applyProtection="1">
      <alignment horizontal="justify" wrapText="1"/>
      <protection/>
    </xf>
    <xf numFmtId="2" fontId="20" fillId="0" borderId="75" xfId="84" applyNumberFormat="1" applyFont="1" applyBorder="1" applyAlignment="1" applyProtection="1">
      <alignment horizontal="center" wrapText="1"/>
      <protection/>
    </xf>
    <xf numFmtId="0" fontId="20" fillId="0" borderId="73" xfId="84" applyFont="1" applyFill="1" applyBorder="1" applyAlignment="1" applyProtection="1">
      <alignment horizontal="center" vertical="top" wrapText="1"/>
      <protection/>
    </xf>
    <xf numFmtId="0" fontId="57" fillId="0" borderId="72" xfId="84" applyFont="1" applyBorder="1" applyAlignment="1" applyProtection="1">
      <alignment horizontal="left" vertical="top" wrapText="1"/>
      <protection/>
    </xf>
    <xf numFmtId="0" fontId="56" fillId="0" borderId="0" xfId="84" applyFont="1" applyBorder="1" applyAlignment="1" applyProtection="1">
      <alignment horizontal="center" wrapText="1"/>
      <protection/>
    </xf>
    <xf numFmtId="0" fontId="56" fillId="0" borderId="0" xfId="84" applyFont="1" applyFill="1" applyBorder="1" applyAlignment="1" applyProtection="1">
      <alignment horizontal="center" wrapText="1"/>
      <protection/>
    </xf>
    <xf numFmtId="2" fontId="0" fillId="0" borderId="75" xfId="84" applyNumberFormat="1" applyFont="1" applyFill="1" applyBorder="1" applyAlignment="1" applyProtection="1">
      <alignment horizontal="center" vertical="top" wrapText="1"/>
      <protection/>
    </xf>
    <xf numFmtId="2" fontId="0" fillId="0" borderId="73" xfId="84" applyNumberFormat="1" applyFont="1" applyFill="1" applyBorder="1" applyAlignment="1" applyProtection="1">
      <alignment horizontal="center" vertical="top" wrapText="1"/>
      <protection/>
    </xf>
    <xf numFmtId="201" fontId="61" fillId="0" borderId="0" xfId="96" applyNumberFormat="1" applyFont="1" applyAlignment="1" applyProtection="1">
      <alignment horizontal="center" wrapText="1"/>
      <protection/>
    </xf>
    <xf numFmtId="0" fontId="0" fillId="0" borderId="0" xfId="84" applyFont="1" applyFill="1" applyAlignment="1" applyProtection="1">
      <alignment wrapText="1"/>
      <protection/>
    </xf>
    <xf numFmtId="0" fontId="5" fillId="0" borderId="0" xfId="84" applyFont="1" applyAlignment="1" applyProtection="1">
      <alignment horizontal="left" wrapText="1"/>
      <protection/>
    </xf>
    <xf numFmtId="0" fontId="53" fillId="0" borderId="0" xfId="88" applyNumberFormat="1" applyFont="1" applyBorder="1" applyAlignment="1">
      <alignment horizontal="center" wrapText="1"/>
      <protection/>
    </xf>
    <xf numFmtId="0" fontId="9" fillId="0" borderId="0" xfId="88" applyNumberFormat="1" applyFont="1" applyBorder="1" applyAlignment="1">
      <alignment horizontal="right" vertical="center" wrapText="1"/>
      <protection/>
    </xf>
    <xf numFmtId="0" fontId="54" fillId="0" borderId="0" xfId="88" applyNumberFormat="1" applyFont="1" applyFill="1" applyBorder="1" applyAlignment="1">
      <alignment horizontal="right" vertical="center" wrapText="1"/>
      <protection/>
    </xf>
    <xf numFmtId="10" fontId="53" fillId="0" borderId="0" xfId="88" applyNumberFormat="1" applyFont="1" applyFill="1" applyBorder="1" applyAlignment="1">
      <alignment horizontal="left" vertical="center" wrapText="1"/>
      <protection/>
    </xf>
    <xf numFmtId="0" fontId="53" fillId="0" borderId="0" xfId="88" applyNumberFormat="1" applyFont="1" applyAlignment="1">
      <alignment horizontal="center" wrapText="1"/>
      <protection/>
    </xf>
    <xf numFmtId="0" fontId="53" fillId="0" borderId="0" xfId="88" applyNumberFormat="1" applyFont="1" applyAlignment="1">
      <alignment wrapText="1"/>
      <protection/>
    </xf>
    <xf numFmtId="0" fontId="2" fillId="45" borderId="76" xfId="88" applyFont="1" applyFill="1" applyBorder="1" applyAlignment="1" applyProtection="1">
      <alignment horizontal="center" vertical="center" wrapText="1"/>
      <protection locked="0"/>
    </xf>
    <xf numFmtId="0" fontId="3" fillId="45" borderId="0" xfId="88" applyFont="1" applyFill="1" applyBorder="1" applyAlignment="1" applyProtection="1">
      <alignment horizontal="center" vertical="center" wrapText="1"/>
      <protection locked="0"/>
    </xf>
    <xf numFmtId="0" fontId="3" fillId="0" borderId="90" xfId="0" applyFont="1" applyBorder="1" applyAlignment="1">
      <alignment horizontal="justify" vertical="center" wrapText="1"/>
    </xf>
    <xf numFmtId="0" fontId="3" fillId="0" borderId="92" xfId="0" applyFont="1" applyBorder="1" applyAlignment="1">
      <alignment horizontal="justify" vertical="center" wrapText="1"/>
    </xf>
    <xf numFmtId="0" fontId="3" fillId="0" borderId="74" xfId="0" applyFont="1" applyBorder="1" applyAlignment="1">
      <alignment horizontal="justify" vertical="center" wrapText="1"/>
    </xf>
    <xf numFmtId="0" fontId="3" fillId="0" borderId="73" xfId="0" applyFont="1" applyBorder="1" applyAlignment="1">
      <alignment horizontal="justify" vertical="center" wrapText="1"/>
    </xf>
    <xf numFmtId="0" fontId="2" fillId="0" borderId="92" xfId="0" applyFont="1" applyBorder="1" applyAlignment="1">
      <alignment horizontal="right" vertical="center" wrapText="1"/>
    </xf>
    <xf numFmtId="0" fontId="2" fillId="0" borderId="74" xfId="0" applyFont="1" applyBorder="1" applyAlignment="1">
      <alignment horizontal="right" vertical="center" wrapText="1"/>
    </xf>
    <xf numFmtId="0" fontId="2" fillId="0" borderId="73" xfId="0" applyFont="1" applyBorder="1" applyAlignment="1">
      <alignment horizontal="right" vertical="center" wrapText="1"/>
    </xf>
    <xf numFmtId="0" fontId="2" fillId="0" borderId="9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92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2" fillId="0" borderId="92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wrapText="1"/>
    </xf>
    <xf numFmtId="0" fontId="3" fillId="0" borderId="74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90" xfId="0" applyFont="1" applyBorder="1" applyAlignment="1">
      <alignment horizontal="justify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0" fillId="0" borderId="95" xfId="0" applyNumberFormat="1" applyFont="1" applyBorder="1" applyAlignment="1">
      <alignment horizontal="center" vertical="center"/>
    </xf>
    <xf numFmtId="0" fontId="91" fillId="0" borderId="94" xfId="0" applyFont="1" applyBorder="1" applyAlignment="1">
      <alignment horizontal="center" vertical="center"/>
    </xf>
    <xf numFmtId="0" fontId="91" fillId="0" borderId="95" xfId="0" applyFont="1" applyBorder="1" applyAlignment="1">
      <alignment horizontal="center" vertical="center"/>
    </xf>
    <xf numFmtId="0" fontId="91" fillId="0" borderId="96" xfId="0" applyFont="1" applyBorder="1" applyAlignment="1">
      <alignment horizontal="center" vertical="center"/>
    </xf>
    <xf numFmtId="0" fontId="90" fillId="0" borderId="113" xfId="0" applyFont="1" applyBorder="1" applyAlignment="1">
      <alignment horizontal="center"/>
    </xf>
    <xf numFmtId="0" fontId="90" fillId="0" borderId="76" xfId="0" applyFont="1" applyBorder="1" applyAlignment="1">
      <alignment horizontal="center"/>
    </xf>
    <xf numFmtId="0" fontId="90" fillId="0" borderId="36" xfId="0" applyFont="1" applyBorder="1" applyAlignment="1">
      <alignment horizontal="center"/>
    </xf>
    <xf numFmtId="0" fontId="90" fillId="0" borderId="93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0" fillId="0" borderId="37" xfId="0" applyFont="1" applyBorder="1" applyAlignment="1">
      <alignment horizontal="center"/>
    </xf>
    <xf numFmtId="0" fontId="3" fillId="0" borderId="113" xfId="0" applyFont="1" applyBorder="1" applyAlignment="1">
      <alignment horizontal="justify" vertical="center" wrapText="1"/>
    </xf>
    <xf numFmtId="0" fontId="3" fillId="0" borderId="76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  <xf numFmtId="0" fontId="2" fillId="0" borderId="92" xfId="0" applyFont="1" applyBorder="1" applyAlignment="1">
      <alignment horizontal="justify" vertical="center" wrapText="1"/>
    </xf>
    <xf numFmtId="0" fontId="2" fillId="0" borderId="74" xfId="0" applyFont="1" applyBorder="1" applyAlignment="1">
      <alignment horizontal="justify" vertical="center" wrapText="1"/>
    </xf>
    <xf numFmtId="0" fontId="2" fillId="0" borderId="73" xfId="0" applyFont="1" applyBorder="1" applyAlignment="1">
      <alignment horizontal="justify" vertical="center" wrapText="1"/>
    </xf>
    <xf numFmtId="0" fontId="85" fillId="0" borderId="92" xfId="0" applyFont="1" applyBorder="1" applyAlignment="1">
      <alignment horizontal="center" vertical="center"/>
    </xf>
    <xf numFmtId="0" fontId="85" fillId="0" borderId="74" xfId="0" applyFont="1" applyBorder="1" applyAlignment="1">
      <alignment horizontal="center" vertical="center"/>
    </xf>
    <xf numFmtId="0" fontId="85" fillId="0" borderId="7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5" fillId="0" borderId="91" xfId="0" applyFont="1" applyBorder="1" applyAlignment="1">
      <alignment horizontal="left" vertical="center"/>
    </xf>
    <xf numFmtId="0" fontId="5" fillId="0" borderId="97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170" fontId="0" fillId="0" borderId="103" xfId="77" applyFont="1" applyBorder="1" applyAlignment="1">
      <alignment horizontal="center"/>
    </xf>
    <xf numFmtId="0" fontId="92" fillId="0" borderId="114" xfId="0" applyFont="1" applyBorder="1" applyAlignment="1">
      <alignment horizontal="center"/>
    </xf>
    <xf numFmtId="0" fontId="92" fillId="0" borderId="115" xfId="0" applyFont="1" applyBorder="1" applyAlignment="1">
      <alignment horizontal="center"/>
    </xf>
    <xf numFmtId="0" fontId="92" fillId="0" borderId="116" xfId="0" applyFont="1" applyBorder="1" applyAlignment="1">
      <alignment horizontal="center"/>
    </xf>
    <xf numFmtId="0" fontId="85" fillId="0" borderId="99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100" xfId="0" applyFont="1" applyBorder="1" applyAlignment="1">
      <alignment horizontal="center"/>
    </xf>
    <xf numFmtId="0" fontId="0" fillId="0" borderId="90" xfId="0" applyBorder="1" applyAlignment="1">
      <alignment horizontal="left"/>
    </xf>
    <xf numFmtId="0" fontId="0" fillId="0" borderId="101" xfId="0" applyBorder="1" applyAlignment="1">
      <alignment horizontal="left"/>
    </xf>
    <xf numFmtId="0" fontId="0" fillId="0" borderId="105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01" xfId="0" applyBorder="1" applyAlignment="1">
      <alignment horizontal="center"/>
    </xf>
    <xf numFmtId="0" fontId="20" fillId="0" borderId="105" xfId="0" applyFont="1" applyBorder="1" applyAlignment="1">
      <alignment horizontal="center"/>
    </xf>
    <xf numFmtId="0" fontId="20" fillId="0" borderId="90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25" fillId="0" borderId="90" xfId="74" applyBorder="1" applyAlignment="1" applyProtection="1">
      <alignment horizontal="center" wrapText="1"/>
      <protection/>
    </xf>
    <xf numFmtId="0" fontId="0" fillId="0" borderId="90" xfId="0" applyBorder="1" applyAlignment="1">
      <alignment horizontal="center" wrapText="1"/>
    </xf>
    <xf numFmtId="0" fontId="25" fillId="0" borderId="90" xfId="74" applyBorder="1" applyAlignment="1" applyProtection="1">
      <alignment horizontal="left"/>
      <protection/>
    </xf>
    <xf numFmtId="0" fontId="20" fillId="0" borderId="9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0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20" fillId="0" borderId="103" xfId="0" applyFont="1" applyBorder="1" applyAlignment="1">
      <alignment horizontal="center"/>
    </xf>
    <xf numFmtId="0" fontId="20" fillId="0" borderId="112" xfId="0" applyFont="1" applyBorder="1" applyAlignment="1">
      <alignment horizontal="center"/>
    </xf>
    <xf numFmtId="0" fontId="20" fillId="0" borderId="0" xfId="84" applyFont="1" applyAlignment="1" applyProtection="1">
      <alignment wrapText="1"/>
      <protection/>
    </xf>
    <xf numFmtId="10" fontId="59" fillId="30" borderId="113" xfId="97" applyNumberFormat="1" applyFont="1" applyFill="1" applyBorder="1" applyAlignment="1" applyProtection="1">
      <alignment horizontal="center" vertical="center" wrapText="1"/>
      <protection/>
    </xf>
    <xf numFmtId="10" fontId="59" fillId="30" borderId="36" xfId="97" applyNumberFormat="1" applyFont="1" applyFill="1" applyBorder="1" applyAlignment="1" applyProtection="1">
      <alignment horizontal="center" vertical="center" wrapText="1"/>
      <protection/>
    </xf>
    <xf numFmtId="10" fontId="59" fillId="30" borderId="94" xfId="97" applyNumberFormat="1" applyFont="1" applyFill="1" applyBorder="1" applyAlignment="1" applyProtection="1">
      <alignment horizontal="center" vertical="center" wrapText="1"/>
      <protection/>
    </xf>
    <xf numFmtId="10" fontId="59" fillId="30" borderId="96" xfId="97" applyNumberFormat="1" applyFont="1" applyFill="1" applyBorder="1" applyAlignment="1" applyProtection="1">
      <alignment horizontal="center" vertical="center" wrapText="1"/>
      <protection/>
    </xf>
    <xf numFmtId="0" fontId="5" fillId="0" borderId="0" xfId="84" applyFont="1" applyAlignment="1" applyProtection="1">
      <alignment horizontal="center" wrapText="1"/>
      <protection/>
    </xf>
    <xf numFmtId="0" fontId="5" fillId="0" borderId="0" xfId="88" applyFont="1" applyFill="1" applyBorder="1" applyAlignment="1">
      <alignment horizontal="center" vertical="center" wrapText="1"/>
      <protection/>
    </xf>
    <xf numFmtId="0" fontId="51" fillId="0" borderId="0" xfId="88" applyNumberFormat="1" applyFont="1" applyBorder="1" applyAlignment="1">
      <alignment horizontal="center" vertical="center" wrapText="1"/>
      <protection/>
    </xf>
    <xf numFmtId="10" fontId="53" fillId="45" borderId="0" xfId="88" applyNumberFormat="1" applyFont="1" applyFill="1" applyBorder="1" applyAlignment="1" applyProtection="1">
      <alignment vertical="center" wrapText="1"/>
      <protection locked="0"/>
    </xf>
    <xf numFmtId="0" fontId="86" fillId="0" borderId="90" xfId="0" applyFont="1" applyBorder="1" applyAlignment="1">
      <alignment horizontal="center" vertical="center" wrapText="1"/>
    </xf>
    <xf numFmtId="0" fontId="86" fillId="0" borderId="90" xfId="0" applyFont="1" applyBorder="1" applyAlignment="1">
      <alignment horizontal="center" vertical="center"/>
    </xf>
    <xf numFmtId="0" fontId="4" fillId="0" borderId="90" xfId="0" applyFont="1" applyBorder="1" applyAlignment="1">
      <alignment horizontal="left"/>
    </xf>
    <xf numFmtId="0" fontId="87" fillId="0" borderId="90" xfId="0" applyFont="1" applyBorder="1" applyAlignment="1">
      <alignment horizontal="left" vertical="center" wrapText="1"/>
    </xf>
    <xf numFmtId="0" fontId="20" fillId="0" borderId="9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/>
    </xf>
    <xf numFmtId="0" fontId="87" fillId="0" borderId="90" xfId="0" applyFont="1" applyBorder="1" applyAlignment="1">
      <alignment horizontal="left"/>
    </xf>
    <xf numFmtId="0" fontId="5" fillId="0" borderId="90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49" fontId="4" fillId="0" borderId="94" xfId="0" applyNumberFormat="1" applyFont="1" applyBorder="1" applyAlignment="1">
      <alignment horizontal="center"/>
    </xf>
    <xf numFmtId="49" fontId="4" fillId="0" borderId="95" xfId="0" applyNumberFormat="1" applyFont="1" applyBorder="1" applyAlignment="1">
      <alignment horizontal="center"/>
    </xf>
    <xf numFmtId="49" fontId="4" fillId="0" borderId="96" xfId="0" applyNumberFormat="1" applyFont="1" applyBorder="1" applyAlignment="1">
      <alignment horizontal="center"/>
    </xf>
    <xf numFmtId="4" fontId="4" fillId="0" borderId="94" xfId="0" applyNumberFormat="1" applyFont="1" applyBorder="1" applyAlignment="1">
      <alignment horizontal="left"/>
    </xf>
    <xf numFmtId="4" fontId="4" fillId="0" borderId="95" xfId="0" applyNumberFormat="1" applyFont="1" applyBorder="1" applyAlignment="1">
      <alignment horizontal="left"/>
    </xf>
    <xf numFmtId="4" fontId="4" fillId="0" borderId="96" xfId="0" applyNumberFormat="1" applyFont="1" applyBorder="1" applyAlignment="1">
      <alignment horizontal="left"/>
    </xf>
    <xf numFmtId="4" fontId="4" fillId="0" borderId="94" xfId="0" applyNumberFormat="1" applyFont="1" applyBorder="1" applyAlignment="1">
      <alignment horizontal="center"/>
    </xf>
    <xf numFmtId="4" fontId="4" fillId="0" borderId="95" xfId="0" applyNumberFormat="1" applyFont="1" applyBorder="1" applyAlignment="1">
      <alignment horizontal="center"/>
    </xf>
    <xf numFmtId="4" fontId="4" fillId="0" borderId="96" xfId="0" applyNumberFormat="1" applyFont="1" applyBorder="1" applyAlignment="1">
      <alignment horizontal="center"/>
    </xf>
    <xf numFmtId="0" fontId="4" fillId="0" borderId="113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4" fontId="4" fillId="0" borderId="113" xfId="0" applyNumberFormat="1" applyFont="1" applyBorder="1" applyAlignment="1">
      <alignment horizontal="left"/>
    </xf>
    <xf numFmtId="4" fontId="4" fillId="0" borderId="76" xfId="0" applyNumberFormat="1" applyFont="1" applyBorder="1" applyAlignment="1">
      <alignment horizontal="left"/>
    </xf>
    <xf numFmtId="4" fontId="4" fillId="0" borderId="36" xfId="0" applyNumberFormat="1" applyFont="1" applyBorder="1" applyAlignment="1">
      <alignment horizontal="left"/>
    </xf>
    <xf numFmtId="0" fontId="4" fillId="0" borderId="9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center"/>
    </xf>
    <xf numFmtId="4" fontId="4" fillId="0" borderId="93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37" xfId="0" applyNumberFormat="1" applyFont="1" applyBorder="1" applyAlignment="1">
      <alignment horizontal="center"/>
    </xf>
    <xf numFmtId="0" fontId="85" fillId="0" borderId="114" xfId="0" applyFont="1" applyBorder="1" applyAlignment="1">
      <alignment horizontal="center"/>
    </xf>
    <xf numFmtId="0" fontId="85" fillId="0" borderId="115" xfId="0" applyFont="1" applyBorder="1" applyAlignment="1">
      <alignment horizontal="center"/>
    </xf>
    <xf numFmtId="0" fontId="85" fillId="0" borderId="116" xfId="0" applyFont="1" applyBorder="1" applyAlignment="1">
      <alignment horizontal="center"/>
    </xf>
    <xf numFmtId="0" fontId="2" fillId="57" borderId="107" xfId="0" applyFont="1" applyFill="1" applyBorder="1" applyAlignment="1">
      <alignment horizontal="left" vertical="center"/>
    </xf>
    <xf numFmtId="0" fontId="2" fillId="57" borderId="73" xfId="0" applyFont="1" applyFill="1" applyBorder="1" applyAlignment="1">
      <alignment horizontal="left" vertical="center"/>
    </xf>
    <xf numFmtId="0" fontId="2" fillId="57" borderId="92" xfId="0" applyFont="1" applyFill="1" applyBorder="1" applyAlignment="1">
      <alignment horizontal="center" vertical="center" wrapText="1"/>
    </xf>
    <xf numFmtId="0" fontId="2" fillId="57" borderId="74" xfId="0" applyFont="1" applyFill="1" applyBorder="1" applyAlignment="1">
      <alignment horizontal="center" vertical="center" wrapText="1"/>
    </xf>
    <xf numFmtId="0" fontId="2" fillId="57" borderId="73" xfId="0" applyFont="1" applyFill="1" applyBorder="1" applyAlignment="1">
      <alignment horizontal="center" vertical="center" wrapText="1"/>
    </xf>
    <xf numFmtId="0" fontId="3" fillId="0" borderId="107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85" fillId="0" borderId="111" xfId="0" applyFont="1" applyBorder="1" applyAlignment="1">
      <alignment horizontal="center" vertical="center"/>
    </xf>
    <xf numFmtId="0" fontId="85" fillId="0" borderId="95" xfId="0" applyFont="1" applyBorder="1" applyAlignment="1">
      <alignment horizontal="center" vertical="center"/>
    </xf>
    <xf numFmtId="0" fontId="85" fillId="0" borderId="117" xfId="0" applyFont="1" applyBorder="1" applyAlignment="1">
      <alignment horizontal="center" vertical="center"/>
    </xf>
    <xf numFmtId="0" fontId="0" fillId="0" borderId="74" xfId="0" applyFont="1" applyBorder="1" applyAlignment="1">
      <alignment horizontal="left" vertical="center"/>
    </xf>
    <xf numFmtId="0" fontId="0" fillId="0" borderId="90" xfId="0" applyFont="1" applyBorder="1" applyAlignment="1">
      <alignment horizontal="center" vertical="center"/>
    </xf>
    <xf numFmtId="171" fontId="2" fillId="57" borderId="92" xfId="122" applyFont="1" applyFill="1" applyBorder="1" applyAlignment="1">
      <alignment horizontal="center" vertical="center"/>
    </xf>
    <xf numFmtId="171" fontId="2" fillId="57" borderId="73" xfId="122" applyFont="1" applyFill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2" fillId="0" borderId="107" xfId="0" applyFont="1" applyBorder="1" applyAlignment="1">
      <alignment horizontal="left" vertical="center" wrapText="1"/>
    </xf>
    <xf numFmtId="0" fontId="2" fillId="0" borderId="108" xfId="0" applyFont="1" applyBorder="1" applyAlignment="1">
      <alignment horizontal="left" vertical="center" wrapText="1"/>
    </xf>
    <xf numFmtId="171" fontId="3" fillId="57" borderId="107" xfId="122" applyFont="1" applyFill="1" applyBorder="1" applyAlignment="1">
      <alignment horizontal="right" vertical="center"/>
    </xf>
    <xf numFmtId="171" fontId="3" fillId="57" borderId="74" xfId="122" applyFont="1" applyFill="1" applyBorder="1" applyAlignment="1">
      <alignment horizontal="right" vertical="center"/>
    </xf>
    <xf numFmtId="171" fontId="3" fillId="57" borderId="73" xfId="122" applyFont="1" applyFill="1" applyBorder="1" applyAlignment="1">
      <alignment horizontal="right" vertical="center"/>
    </xf>
    <xf numFmtId="4" fontId="3" fillId="57" borderId="92" xfId="122" applyNumberFormat="1" applyFont="1" applyFill="1" applyBorder="1" applyAlignment="1">
      <alignment horizontal="center" vertical="center"/>
    </xf>
    <xf numFmtId="4" fontId="3" fillId="57" borderId="108" xfId="122" applyNumberFormat="1" applyFont="1" applyFill="1" applyBorder="1" applyAlignment="1">
      <alignment horizontal="center" vertical="center"/>
    </xf>
    <xf numFmtId="0" fontId="3" fillId="0" borderId="107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10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88" fillId="0" borderId="95" xfId="0" applyFont="1" applyBorder="1" applyAlignment="1">
      <alignment horizontal="center"/>
    </xf>
    <xf numFmtId="171" fontId="3" fillId="0" borderId="92" xfId="122" applyFont="1" applyBorder="1" applyAlignment="1">
      <alignment horizontal="center" vertical="center"/>
    </xf>
    <xf numFmtId="171" fontId="3" fillId="0" borderId="73" xfId="122" applyFont="1" applyBorder="1" applyAlignment="1">
      <alignment horizontal="center" vertical="center"/>
    </xf>
    <xf numFmtId="0" fontId="20" fillId="0" borderId="76" xfId="0" applyFont="1" applyBorder="1" applyAlignment="1">
      <alignment horizontal="center"/>
    </xf>
    <xf numFmtId="4" fontId="0" fillId="0" borderId="103" xfId="0" applyNumberFormat="1" applyFont="1" applyBorder="1" applyAlignment="1">
      <alignment horizontal="center" vertical="center"/>
    </xf>
    <xf numFmtId="0" fontId="0" fillId="0" borderId="103" xfId="0" applyFont="1" applyBorder="1" applyAlignment="1">
      <alignment horizontal="center"/>
    </xf>
    <xf numFmtId="0" fontId="3" fillId="0" borderId="92" xfId="122" applyNumberFormat="1" applyFont="1" applyBorder="1" applyAlignment="1">
      <alignment horizontal="center" vertical="center"/>
    </xf>
    <xf numFmtId="0" fontId="3" fillId="0" borderId="73" xfId="122" applyNumberFormat="1" applyFont="1" applyBorder="1" applyAlignment="1">
      <alignment horizontal="center" vertical="center"/>
    </xf>
    <xf numFmtId="171" fontId="3" fillId="0" borderId="74" xfId="122" applyFont="1" applyBorder="1" applyAlignment="1">
      <alignment horizontal="center" vertical="center"/>
    </xf>
    <xf numFmtId="0" fontId="3" fillId="57" borderId="107" xfId="0" applyFont="1" applyFill="1" applyBorder="1" applyAlignment="1">
      <alignment horizontal="right" vertical="center"/>
    </xf>
    <xf numFmtId="0" fontId="3" fillId="57" borderId="74" xfId="0" applyFont="1" applyFill="1" applyBorder="1" applyAlignment="1">
      <alignment horizontal="right" vertical="center"/>
    </xf>
    <xf numFmtId="0" fontId="3" fillId="57" borderId="7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19" fillId="30" borderId="23" xfId="0" applyFont="1" applyFill="1" applyBorder="1" applyAlignment="1">
      <alignment horizontal="center" vertical="center" wrapText="1"/>
    </xf>
    <xf numFmtId="0" fontId="19" fillId="30" borderId="8" xfId="0" applyFont="1" applyFill="1" applyBorder="1" applyAlignment="1">
      <alignment horizontal="center" vertical="center" wrapText="1"/>
    </xf>
    <xf numFmtId="0" fontId="11" fillId="49" borderId="8" xfId="90" applyFont="1" applyFill="1" applyBorder="1" applyAlignment="1">
      <alignment horizontal="center" vertical="justify" wrapText="1"/>
      <protection/>
    </xf>
    <xf numFmtId="0" fontId="4" fillId="0" borderId="24" xfId="90" applyFont="1" applyBorder="1" applyAlignment="1" applyProtection="1">
      <alignment horizontal="center" vertical="center" wrapText="1"/>
      <protection locked="0"/>
    </xf>
    <xf numFmtId="0" fontId="4" fillId="0" borderId="24" xfId="90" applyFont="1" applyBorder="1" applyAlignment="1" applyProtection="1" quotePrefix="1">
      <alignment horizontal="center" vertical="center" wrapText="1"/>
      <protection locked="0"/>
    </xf>
    <xf numFmtId="0" fontId="4" fillId="48" borderId="8" xfId="0" applyFont="1" applyFill="1" applyBorder="1" applyAlignment="1">
      <alignment vertical="center" wrapText="1"/>
    </xf>
    <xf numFmtId="10" fontId="18" fillId="45" borderId="8" xfId="90" applyNumberFormat="1" applyFont="1" applyFill="1" applyBorder="1" applyAlignment="1">
      <alignment horizontal="center" vertical="center" wrapText="1"/>
      <protection/>
    </xf>
    <xf numFmtId="10" fontId="18" fillId="56" borderId="8" xfId="90" applyNumberFormat="1" applyFont="1" applyFill="1" applyBorder="1" applyAlignment="1">
      <alignment horizontal="center" vertical="center" wrapText="1"/>
      <protection/>
    </xf>
    <xf numFmtId="0" fontId="5" fillId="28" borderId="118" xfId="0" applyFont="1" applyFill="1" applyBorder="1" applyAlignment="1">
      <alignment horizontal="left" wrapText="1"/>
    </xf>
    <xf numFmtId="0" fontId="5" fillId="28" borderId="119" xfId="0" applyFont="1" applyFill="1" applyBorder="1" applyAlignment="1">
      <alignment horizontal="left" wrapText="1"/>
    </xf>
    <xf numFmtId="4" fontId="5" fillId="4" borderId="27" xfId="90" applyNumberFormat="1" applyFont="1" applyFill="1" applyBorder="1" applyAlignment="1">
      <alignment horizontal="center" vertical="center" wrapText="1"/>
      <protection/>
    </xf>
    <xf numFmtId="0" fontId="5" fillId="4" borderId="27" xfId="90" applyFont="1" applyFill="1" applyBorder="1" applyAlignment="1">
      <alignment horizontal="center" vertical="center" wrapText="1"/>
      <protection/>
    </xf>
    <xf numFmtId="10" fontId="4" fillId="4" borderId="26" xfId="0" applyNumberFormat="1" applyFont="1" applyFill="1" applyBorder="1" applyAlignment="1">
      <alignment horizontal="center" vertical="justify" wrapText="1"/>
    </xf>
    <xf numFmtId="4" fontId="12" fillId="49" borderId="8" xfId="0" applyNumberFormat="1" applyFont="1" applyFill="1" applyBorder="1" applyAlignment="1">
      <alignment horizontal="right" vertical="justify" wrapText="1"/>
    </xf>
    <xf numFmtId="0" fontId="12" fillId="49" borderId="8" xfId="0" applyFont="1" applyFill="1" applyBorder="1" applyAlignment="1">
      <alignment horizontal="right" vertical="justify" wrapText="1"/>
    </xf>
    <xf numFmtId="4" fontId="21" fillId="49" borderId="120" xfId="90" applyNumberFormat="1" applyFont="1" applyFill="1" applyBorder="1" applyAlignment="1">
      <alignment horizontal="center" vertical="center" wrapText="1"/>
      <protection/>
    </xf>
    <xf numFmtId="4" fontId="21" fillId="49" borderId="121" xfId="90" applyNumberFormat="1" applyFont="1" applyFill="1" applyBorder="1" applyAlignment="1">
      <alignment horizontal="center" vertical="center" wrapText="1"/>
      <protection/>
    </xf>
    <xf numFmtId="4" fontId="21" fillId="49" borderId="122" xfId="90" applyNumberFormat="1" applyFont="1" applyFill="1" applyBorder="1" applyAlignment="1">
      <alignment horizontal="center" vertical="center" wrapText="1"/>
      <protection/>
    </xf>
    <xf numFmtId="4" fontId="12" fillId="49" borderId="23" xfId="90" applyNumberFormat="1" applyFont="1" applyFill="1" applyBorder="1" applyAlignment="1">
      <alignment horizontal="right" vertical="justify" wrapText="1"/>
      <protection/>
    </xf>
    <xf numFmtId="0" fontId="13" fillId="49" borderId="23" xfId="0" applyFont="1" applyFill="1" applyBorder="1" applyAlignment="1">
      <alignment horizontal="right" vertical="justify" wrapText="1"/>
    </xf>
    <xf numFmtId="10" fontId="4" fillId="4" borderId="8" xfId="94" applyNumberFormat="1" applyFont="1" applyFill="1" applyBorder="1" applyAlignment="1">
      <alignment horizontal="center" vertical="justify" wrapText="1"/>
    </xf>
    <xf numFmtId="10" fontId="5" fillId="4" borderId="8" xfId="0" applyNumberFormat="1" applyFont="1" applyFill="1" applyBorder="1" applyAlignment="1">
      <alignment horizontal="center" vertical="justify" wrapText="1"/>
    </xf>
    <xf numFmtId="0" fontId="5" fillId="48" borderId="0" xfId="0" applyFont="1" applyFill="1" applyBorder="1" applyAlignment="1">
      <alignment horizontal="center" wrapText="1"/>
    </xf>
    <xf numFmtId="0" fontId="20" fillId="48" borderId="0" xfId="0" applyFont="1" applyFill="1" applyBorder="1" applyAlignment="1">
      <alignment horizontal="center" wrapText="1"/>
    </xf>
    <xf numFmtId="10" fontId="4" fillId="4" borderId="123" xfId="94" applyNumberFormat="1" applyFont="1" applyFill="1" applyBorder="1" applyAlignment="1">
      <alignment horizontal="center" vertical="justify" wrapText="1"/>
    </xf>
    <xf numFmtId="10" fontId="4" fillId="4" borderId="124" xfId="94" applyNumberFormat="1" applyFont="1" applyFill="1" applyBorder="1" applyAlignment="1">
      <alignment horizontal="center" vertical="justify" wrapText="1"/>
    </xf>
    <xf numFmtId="10" fontId="18" fillId="45" borderId="125" xfId="90" applyNumberFormat="1" applyFont="1" applyFill="1" applyBorder="1" applyAlignment="1">
      <alignment horizontal="center" vertical="center" wrapText="1"/>
      <protection/>
    </xf>
    <xf numFmtId="10" fontId="18" fillId="45" borderId="84" xfId="90" applyNumberFormat="1" applyFont="1" applyFill="1" applyBorder="1" applyAlignment="1">
      <alignment horizontal="center" vertical="center" wrapText="1"/>
      <protection/>
    </xf>
    <xf numFmtId="4" fontId="12" fillId="49" borderId="126" xfId="90" applyNumberFormat="1" applyFont="1" applyFill="1" applyBorder="1" applyAlignment="1">
      <alignment horizontal="right" vertical="justify" wrapText="1"/>
      <protection/>
    </xf>
    <xf numFmtId="4" fontId="12" fillId="49" borderId="127" xfId="90" applyNumberFormat="1" applyFont="1" applyFill="1" applyBorder="1" applyAlignment="1">
      <alignment horizontal="right" vertical="justify" wrapText="1"/>
      <protection/>
    </xf>
    <xf numFmtId="0" fontId="0" fillId="48" borderId="28" xfId="0" applyFill="1" applyBorder="1" applyAlignment="1">
      <alignment horizontal="center"/>
    </xf>
    <xf numFmtId="0" fontId="4" fillId="48" borderId="128" xfId="0" applyFont="1" applyFill="1" applyBorder="1" applyAlignment="1">
      <alignment vertical="center" wrapText="1"/>
    </xf>
    <xf numFmtId="0" fontId="4" fillId="48" borderId="129" xfId="0" applyFont="1" applyFill="1" applyBorder="1" applyAlignment="1">
      <alignment vertical="center" wrapText="1"/>
    </xf>
    <xf numFmtId="10" fontId="4" fillId="4" borderId="125" xfId="94" applyNumberFormat="1" applyFont="1" applyFill="1" applyBorder="1" applyAlignment="1">
      <alignment horizontal="center" vertical="justify" wrapText="1"/>
    </xf>
    <xf numFmtId="10" fontId="4" fillId="4" borderId="84" xfId="94" applyNumberFormat="1" applyFont="1" applyFill="1" applyBorder="1" applyAlignment="1">
      <alignment horizontal="center" vertical="justify" wrapText="1"/>
    </xf>
    <xf numFmtId="10" fontId="23" fillId="4" borderId="85" xfId="90" applyNumberFormat="1" applyFont="1" applyFill="1" applyBorder="1" applyAlignment="1">
      <alignment horizontal="center" vertical="center" wrapText="1"/>
      <protection/>
    </xf>
    <xf numFmtId="10" fontId="23" fillId="4" borderId="130" xfId="90" applyNumberFormat="1" applyFont="1" applyFill="1" applyBorder="1" applyAlignment="1">
      <alignment horizontal="center" vertical="center" wrapText="1"/>
      <protection/>
    </xf>
    <xf numFmtId="10" fontId="23" fillId="4" borderId="131" xfId="90" applyNumberFormat="1" applyFont="1" applyFill="1" applyBorder="1" applyAlignment="1">
      <alignment horizontal="center" vertical="center" wrapText="1"/>
      <protection/>
    </xf>
    <xf numFmtId="0" fontId="22" fillId="4" borderId="132" xfId="0" applyFont="1" applyFill="1" applyBorder="1" applyAlignment="1">
      <alignment horizontal="center" vertical="center" wrapText="1"/>
    </xf>
    <xf numFmtId="0" fontId="22" fillId="4" borderId="133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14" fillId="58" borderId="24" xfId="0" applyFont="1" applyFill="1" applyBorder="1" applyAlignment="1">
      <alignment horizontal="center" vertical="center" wrapText="1"/>
    </xf>
    <xf numFmtId="0" fontId="14" fillId="58" borderId="8" xfId="0" applyFont="1" applyFill="1" applyBorder="1" applyAlignment="1">
      <alignment horizontal="center" vertical="center" wrapText="1"/>
    </xf>
    <xf numFmtId="0" fontId="14" fillId="58" borderId="27" xfId="0" applyFont="1" applyFill="1" applyBorder="1" applyAlignment="1">
      <alignment horizontal="center" vertical="center" wrapText="1"/>
    </xf>
    <xf numFmtId="0" fontId="11" fillId="49" borderId="24" xfId="90" applyFont="1" applyFill="1" applyBorder="1" applyAlignment="1" applyProtection="1">
      <alignment horizontal="center" vertical="center" wrapText="1"/>
      <protection/>
    </xf>
    <xf numFmtId="0" fontId="11" fillId="49" borderId="25" xfId="90" applyFont="1" applyFill="1" applyBorder="1" applyAlignment="1" applyProtection="1">
      <alignment horizontal="center" vertical="center" wrapText="1"/>
      <protection/>
    </xf>
    <xf numFmtId="0" fontId="11" fillId="49" borderId="8" xfId="90" applyFont="1" applyFill="1" applyBorder="1" applyAlignment="1" applyProtection="1">
      <alignment horizontal="center" vertical="center" wrapText="1"/>
      <protection/>
    </xf>
    <xf numFmtId="0" fontId="11" fillId="49" borderId="26" xfId="90" applyFont="1" applyFill="1" applyBorder="1" applyAlignment="1" applyProtection="1">
      <alignment horizontal="center" vertical="center" wrapText="1"/>
      <protection/>
    </xf>
    <xf numFmtId="0" fontId="21" fillId="49" borderId="8" xfId="90" applyFont="1" applyFill="1" applyBorder="1" applyAlignment="1">
      <alignment horizontal="center" vertical="justify" wrapText="1"/>
      <protection/>
    </xf>
    <xf numFmtId="0" fontId="21" fillId="49" borderId="27" xfId="90" applyFont="1" applyFill="1" applyBorder="1" applyAlignment="1">
      <alignment horizontal="center" vertical="justify" wrapText="1"/>
      <protection/>
    </xf>
    <xf numFmtId="0" fontId="11" fillId="49" borderId="8" xfId="90" applyFont="1" applyFill="1" applyBorder="1" applyAlignment="1">
      <alignment horizontal="center" vertical="center" wrapText="1"/>
      <protection/>
    </xf>
    <xf numFmtId="0" fontId="11" fillId="49" borderId="26" xfId="90" applyFont="1" applyFill="1" applyBorder="1" applyAlignment="1">
      <alignment horizontal="center" vertical="center" wrapText="1"/>
      <protection/>
    </xf>
    <xf numFmtId="0" fontId="11" fillId="49" borderId="27" xfId="90" applyFont="1" applyFill="1" applyBorder="1" applyAlignment="1">
      <alignment horizontal="center" vertical="center" wrapText="1"/>
      <protection/>
    </xf>
    <xf numFmtId="0" fontId="11" fillId="49" borderId="134" xfId="90" applyFont="1" applyFill="1" applyBorder="1" applyAlignment="1">
      <alignment horizontal="center" vertical="center" wrapText="1"/>
      <protection/>
    </xf>
    <xf numFmtId="0" fontId="5" fillId="28" borderId="8" xfId="0" applyFont="1" applyFill="1" applyBorder="1" applyAlignment="1">
      <alignment horizontal="right" wrapText="1"/>
    </xf>
    <xf numFmtId="4" fontId="12" fillId="49" borderId="125" xfId="90" applyNumberFormat="1" applyFont="1" applyFill="1" applyBorder="1" applyAlignment="1">
      <alignment horizontal="right" vertical="justify" wrapText="1"/>
      <protection/>
    </xf>
    <xf numFmtId="4" fontId="12" fillId="49" borderId="84" xfId="90" applyNumberFormat="1" applyFont="1" applyFill="1" applyBorder="1" applyAlignment="1">
      <alignment horizontal="right" vertical="justify" wrapText="1"/>
      <protection/>
    </xf>
    <xf numFmtId="4" fontId="20" fillId="48" borderId="0" xfId="0" applyNumberFormat="1" applyFont="1" applyFill="1" applyBorder="1" applyAlignment="1">
      <alignment horizontal="center"/>
    </xf>
    <xf numFmtId="4" fontId="5" fillId="48" borderId="0" xfId="0" applyNumberFormat="1" applyFont="1" applyFill="1" applyBorder="1" applyAlignment="1">
      <alignment horizontal="center"/>
    </xf>
    <xf numFmtId="4" fontId="4" fillId="56" borderId="0" xfId="0" applyNumberFormat="1" applyFont="1" applyFill="1" applyBorder="1" applyAlignment="1">
      <alignment horizontal="right"/>
    </xf>
    <xf numFmtId="4" fontId="4" fillId="56" borderId="80" xfId="0" applyNumberFormat="1" applyFont="1" applyFill="1" applyBorder="1" applyAlignment="1">
      <alignment horizontal="right"/>
    </xf>
    <xf numFmtId="4" fontId="5" fillId="0" borderId="135" xfId="122" applyNumberFormat="1" applyFont="1" applyBorder="1" applyAlignment="1">
      <alignment horizontal="left" vertical="center"/>
    </xf>
    <xf numFmtId="4" fontId="5" fillId="0" borderId="136" xfId="122" applyNumberFormat="1" applyFont="1" applyBorder="1" applyAlignment="1">
      <alignment horizontal="left" vertical="center"/>
    </xf>
    <xf numFmtId="171" fontId="5" fillId="45" borderId="137" xfId="122" applyFont="1" applyFill="1" applyBorder="1" applyAlignment="1">
      <alignment horizontal="center"/>
    </xf>
    <xf numFmtId="171" fontId="5" fillId="45" borderId="20" xfId="122" applyFont="1" applyFill="1" applyBorder="1" applyAlignment="1">
      <alignment horizontal="center"/>
    </xf>
    <xf numFmtId="171" fontId="5" fillId="45" borderId="78" xfId="122" applyFont="1" applyFill="1" applyBorder="1" applyAlignment="1">
      <alignment horizontal="center"/>
    </xf>
    <xf numFmtId="4" fontId="5" fillId="0" borderId="79" xfId="122" applyNumberFormat="1" applyFont="1" applyBorder="1" applyAlignment="1">
      <alignment horizontal="left" vertical="center" wrapText="1"/>
    </xf>
    <xf numFmtId="4" fontId="5" fillId="0" borderId="79" xfId="122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38" xfId="0" applyFont="1" applyBorder="1" applyAlignment="1">
      <alignment horizontal="center"/>
    </xf>
    <xf numFmtId="4" fontId="12" fillId="50" borderId="19" xfId="122" applyNumberFormat="1" applyFont="1" applyFill="1" applyBorder="1" applyAlignment="1">
      <alignment horizontal="right" vertical="center"/>
    </xf>
    <xf numFmtId="0" fontId="5" fillId="0" borderId="139" xfId="0" applyFont="1" applyBorder="1" applyAlignment="1">
      <alignment horizontal="justify" vertical="center" wrapText="1"/>
    </xf>
    <xf numFmtId="0" fontId="4" fillId="0" borderId="13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78" xfId="0" applyFont="1" applyBorder="1" applyAlignment="1">
      <alignment horizontal="left" vertical="center" wrapText="1"/>
    </xf>
    <xf numFmtId="0" fontId="4" fillId="48" borderId="35" xfId="0" applyFont="1" applyFill="1" applyBorder="1" applyAlignment="1">
      <alignment horizontal="right" wrapText="1"/>
    </xf>
    <xf numFmtId="0" fontId="4" fillId="48" borderId="140" xfId="0" applyFont="1" applyFill="1" applyBorder="1" applyAlignment="1">
      <alignment horizontal="right" wrapText="1"/>
    </xf>
    <xf numFmtId="4" fontId="4" fillId="48" borderId="35" xfId="0" applyNumberFormat="1" applyFont="1" applyFill="1" applyBorder="1" applyAlignment="1">
      <alignment horizontal="right" vertical="center" wrapText="1"/>
    </xf>
    <xf numFmtId="0" fontId="5" fillId="0" borderId="141" xfId="0" applyFont="1" applyFill="1" applyBorder="1" applyAlignment="1">
      <alignment horizontal="left"/>
    </xf>
    <xf numFmtId="0" fontId="5" fillId="0" borderId="142" xfId="0" applyFont="1" applyFill="1" applyBorder="1" applyAlignment="1">
      <alignment horizontal="left"/>
    </xf>
    <xf numFmtId="0" fontId="2" fillId="28" borderId="44" xfId="0" applyFont="1" applyFill="1" applyBorder="1" applyAlignment="1">
      <alignment horizontal="center" vertical="center" wrapText="1"/>
    </xf>
    <xf numFmtId="0" fontId="2" fillId="28" borderId="143" xfId="0" applyFont="1" applyFill="1" applyBorder="1" applyAlignment="1">
      <alignment horizontal="center" vertical="center" wrapText="1"/>
    </xf>
    <xf numFmtId="0" fontId="2" fillId="28" borderId="144" xfId="0" applyFont="1" applyFill="1" applyBorder="1" applyAlignment="1">
      <alignment horizontal="center" vertical="center" wrapText="1"/>
    </xf>
    <xf numFmtId="4" fontId="11" fillId="50" borderId="44" xfId="0" applyNumberFormat="1" applyFont="1" applyFill="1" applyBorder="1" applyAlignment="1">
      <alignment horizontal="center" vertical="center" wrapText="1"/>
    </xf>
    <xf numFmtId="4" fontId="11" fillId="50" borderId="143" xfId="0" applyNumberFormat="1" applyFont="1" applyFill="1" applyBorder="1" applyAlignment="1">
      <alignment horizontal="center" vertical="center" wrapText="1"/>
    </xf>
    <xf numFmtId="4" fontId="11" fillId="50" borderId="144" xfId="0" applyNumberFormat="1" applyFont="1" applyFill="1" applyBorder="1" applyAlignment="1">
      <alignment horizontal="center" vertical="center" wrapText="1"/>
    </xf>
    <xf numFmtId="0" fontId="5" fillId="0" borderId="98" xfId="0" applyFont="1" applyBorder="1" applyAlignment="1">
      <alignment horizontal="justify" vertical="center" wrapText="1"/>
    </xf>
    <xf numFmtId="0" fontId="5" fillId="0" borderId="145" xfId="0" applyFont="1" applyBorder="1" applyAlignment="1">
      <alignment horizontal="justify" vertical="center" wrapText="1"/>
    </xf>
    <xf numFmtId="0" fontId="5" fillId="0" borderId="146" xfId="0" applyFont="1" applyBorder="1" applyAlignment="1">
      <alignment horizontal="justify" vertical="center" wrapText="1"/>
    </xf>
    <xf numFmtId="0" fontId="5" fillId="0" borderId="147" xfId="0" applyFont="1" applyBorder="1" applyAlignment="1">
      <alignment horizontal="left" vertical="center"/>
    </xf>
    <xf numFmtId="0" fontId="5" fillId="0" borderId="148" xfId="0" applyFont="1" applyBorder="1" applyAlignment="1">
      <alignment horizontal="left" vertical="center"/>
    </xf>
    <xf numFmtId="0" fontId="5" fillId="0" borderId="149" xfId="0" applyFont="1" applyBorder="1" applyAlignment="1">
      <alignment horizontal="left" vertical="center"/>
    </xf>
    <xf numFmtId="4" fontId="5" fillId="0" borderId="79" xfId="122" applyNumberFormat="1" applyFont="1" applyBorder="1" applyAlignment="1">
      <alignment horizontal="justify" vertical="center" wrapText="1"/>
    </xf>
    <xf numFmtId="0" fontId="0" fillId="0" borderId="142" xfId="0" applyBorder="1" applyAlignment="1">
      <alignment/>
    </xf>
    <xf numFmtId="0" fontId="0" fillId="0" borderId="150" xfId="0" applyBorder="1" applyAlignment="1">
      <alignment/>
    </xf>
    <xf numFmtId="0" fontId="10" fillId="59" borderId="32" xfId="0" applyFont="1" applyFill="1" applyBorder="1" applyAlignment="1">
      <alignment horizontal="center" vertical="center"/>
    </xf>
    <xf numFmtId="0" fontId="10" fillId="59" borderId="0" xfId="0" applyFont="1" applyFill="1" applyBorder="1" applyAlignment="1">
      <alignment horizontal="center" vertical="center"/>
    </xf>
    <xf numFmtId="0" fontId="10" fillId="59" borderId="80" xfId="0" applyFont="1" applyFill="1" applyBorder="1" applyAlignment="1">
      <alignment horizontal="center" vertical="center"/>
    </xf>
    <xf numFmtId="180" fontId="2" fillId="48" borderId="151" xfId="0" applyNumberFormat="1" applyFont="1" applyFill="1" applyBorder="1" applyAlignment="1">
      <alignment horizontal="center" vertical="center" wrapText="1"/>
    </xf>
    <xf numFmtId="180" fontId="2" fillId="48" borderId="19" xfId="0" applyNumberFormat="1" applyFont="1" applyFill="1" applyBorder="1" applyAlignment="1">
      <alignment horizontal="center" vertical="center" wrapText="1"/>
    </xf>
    <xf numFmtId="0" fontId="2" fillId="28" borderId="151" xfId="0" applyFont="1" applyFill="1" applyBorder="1" applyAlignment="1">
      <alignment horizontal="center" vertical="center" wrapText="1"/>
    </xf>
    <xf numFmtId="0" fontId="2" fillId="28" borderId="19" xfId="0" applyFont="1" applyFill="1" applyBorder="1" applyAlignment="1">
      <alignment horizontal="center" vertical="center" wrapText="1"/>
    </xf>
    <xf numFmtId="0" fontId="2" fillId="28" borderId="152" xfId="0" applyFont="1" applyFill="1" applyBorder="1" applyAlignment="1">
      <alignment horizontal="center" vertical="center"/>
    </xf>
    <xf numFmtId="0" fontId="2" fillId="28" borderId="153" xfId="0" applyFont="1" applyFill="1" applyBorder="1" applyAlignment="1">
      <alignment horizontal="center" vertical="center"/>
    </xf>
    <xf numFmtId="0" fontId="4" fillId="0" borderId="137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78" xfId="0" applyFont="1" applyBorder="1" applyAlignment="1">
      <alignment horizontal="justify" vertical="center" wrapText="1"/>
    </xf>
    <xf numFmtId="43" fontId="11" fillId="50" borderId="154" xfId="0" applyNumberFormat="1" applyFont="1" applyFill="1" applyBorder="1" applyAlignment="1">
      <alignment horizontal="center" vertical="center" wrapText="1"/>
    </xf>
    <xf numFmtId="43" fontId="11" fillId="50" borderId="155" xfId="0" applyNumberFormat="1" applyFont="1" applyFill="1" applyBorder="1" applyAlignment="1">
      <alignment horizontal="center" vertical="center" wrapText="1"/>
    </xf>
    <xf numFmtId="43" fontId="11" fillId="50" borderId="156" xfId="0" applyNumberFormat="1" applyFont="1" applyFill="1" applyBorder="1" applyAlignment="1">
      <alignment horizontal="center" vertical="center" wrapText="1"/>
    </xf>
    <xf numFmtId="4" fontId="4" fillId="48" borderId="157" xfId="0" applyNumberFormat="1" applyFont="1" applyFill="1" applyBorder="1" applyAlignment="1">
      <alignment horizontal="center" vertical="center" wrapText="1"/>
    </xf>
    <xf numFmtId="4" fontId="4" fillId="48" borderId="146" xfId="0" applyNumberFormat="1" applyFont="1" applyFill="1" applyBorder="1" applyAlignment="1">
      <alignment horizontal="center" vertical="center" wrapText="1"/>
    </xf>
    <xf numFmtId="0" fontId="0" fillId="0" borderId="79" xfId="0" applyBorder="1" applyAlignment="1">
      <alignment horizontal="justify" wrapText="1"/>
    </xf>
    <xf numFmtId="171" fontId="20" fillId="48" borderId="0" xfId="0" applyNumberFormat="1" applyFont="1" applyFill="1" applyBorder="1" applyAlignment="1">
      <alignment horizontal="center" vertical="center" wrapText="1"/>
    </xf>
    <xf numFmtId="4" fontId="5" fillId="48" borderId="0" xfId="0" applyNumberFormat="1" applyFont="1" applyFill="1" applyBorder="1" applyAlignment="1">
      <alignment horizontal="right" vertical="center" wrapText="1"/>
    </xf>
    <xf numFmtId="0" fontId="5" fillId="48" borderId="0" xfId="0" applyFont="1" applyFill="1" applyBorder="1" applyAlignment="1">
      <alignment horizontal="right" vertical="center" wrapText="1"/>
    </xf>
    <xf numFmtId="171" fontId="8" fillId="48" borderId="0" xfId="0" applyNumberFormat="1" applyFont="1" applyFill="1" applyBorder="1" applyAlignment="1">
      <alignment horizontal="right" vertical="center" wrapText="1"/>
    </xf>
    <xf numFmtId="0" fontId="8" fillId="48" borderId="0" xfId="0" applyFont="1" applyFill="1" applyBorder="1" applyAlignment="1">
      <alignment horizontal="right" vertical="center" wrapText="1"/>
    </xf>
    <xf numFmtId="4" fontId="2" fillId="45" borderId="158" xfId="0" applyNumberFormat="1" applyFont="1" applyFill="1" applyBorder="1" applyAlignment="1">
      <alignment horizontal="left" vertical="center" wrapText="1"/>
    </xf>
    <xf numFmtId="4" fontId="2" fillId="45" borderId="80" xfId="0" applyNumberFormat="1" applyFont="1" applyFill="1" applyBorder="1" applyAlignment="1">
      <alignment horizontal="left" vertical="center" wrapText="1"/>
    </xf>
    <xf numFmtId="4" fontId="2" fillId="45" borderId="159" xfId="0" applyNumberFormat="1" applyFont="1" applyFill="1" applyBorder="1" applyAlignment="1">
      <alignment horizontal="left" vertical="center" wrapText="1"/>
    </xf>
    <xf numFmtId="4" fontId="14" fillId="59" borderId="160" xfId="0" applyNumberFormat="1" applyFont="1" applyFill="1" applyBorder="1" applyAlignment="1">
      <alignment horizontal="center" vertical="center"/>
    </xf>
    <xf numFmtId="4" fontId="14" fillId="59" borderId="161" xfId="0" applyNumberFormat="1" applyFont="1" applyFill="1" applyBorder="1" applyAlignment="1">
      <alignment horizontal="center" vertical="center"/>
    </xf>
    <xf numFmtId="4" fontId="14" fillId="59" borderId="162" xfId="0" applyNumberFormat="1" applyFont="1" applyFill="1" applyBorder="1" applyAlignment="1">
      <alignment horizontal="center" vertical="center"/>
    </xf>
    <xf numFmtId="4" fontId="2" fillId="48" borderId="145" xfId="0" applyNumberFormat="1" applyFont="1" applyFill="1" applyBorder="1" applyAlignment="1">
      <alignment horizontal="center" vertical="center" wrapText="1"/>
    </xf>
    <xf numFmtId="4" fontId="2" fillId="48" borderId="146" xfId="0" applyNumberFormat="1" applyFont="1" applyFill="1" applyBorder="1" applyAlignment="1">
      <alignment horizontal="center" vertical="center" wrapText="1"/>
    </xf>
    <xf numFmtId="4" fontId="5" fillId="0" borderId="163" xfId="122" applyNumberFormat="1" applyFont="1" applyBorder="1" applyAlignment="1">
      <alignment horizontal="left" vertical="center"/>
    </xf>
    <xf numFmtId="4" fontId="5" fillId="0" borderId="79" xfId="0" applyNumberFormat="1" applyFont="1" applyBorder="1" applyAlignment="1">
      <alignment horizontal="justify" vertical="center" wrapText="1"/>
    </xf>
    <xf numFmtId="4" fontId="5" fillId="0" borderId="164" xfId="122" applyNumberFormat="1" applyFont="1" applyBorder="1" applyAlignment="1">
      <alignment horizontal="left" vertical="center"/>
    </xf>
    <xf numFmtId="4" fontId="5" fillId="0" borderId="80" xfId="122" applyNumberFormat="1" applyFont="1" applyBorder="1" applyAlignment="1">
      <alignment horizontal="left" vertical="center"/>
    </xf>
    <xf numFmtId="4" fontId="4" fillId="28" borderId="157" xfId="0" applyNumberFormat="1" applyFont="1" applyFill="1" applyBorder="1" applyAlignment="1">
      <alignment horizontal="center" vertical="center" wrapText="1"/>
    </xf>
    <xf numFmtId="4" fontId="4" fillId="28" borderId="146" xfId="0" applyNumberFormat="1" applyFont="1" applyFill="1" applyBorder="1" applyAlignment="1">
      <alignment horizontal="center" vertical="center" wrapText="1"/>
    </xf>
    <xf numFmtId="0" fontId="51" fillId="0" borderId="0" xfId="91" applyNumberFormat="1" applyFont="1" applyBorder="1" applyAlignment="1">
      <alignment horizontal="center"/>
      <protection/>
    </xf>
    <xf numFmtId="0" fontId="20" fillId="0" borderId="0" xfId="83" applyFont="1" applyAlignment="1" applyProtection="1">
      <alignment/>
      <protection/>
    </xf>
    <xf numFmtId="10" fontId="59" fillId="30" borderId="113" xfId="94" applyNumberFormat="1" applyFont="1" applyFill="1" applyBorder="1" applyAlignment="1" applyProtection="1">
      <alignment horizontal="center" vertical="center" wrapText="1"/>
      <protection/>
    </xf>
    <xf numFmtId="10" fontId="59" fillId="30" borderId="36" xfId="94" applyNumberFormat="1" applyFont="1" applyFill="1" applyBorder="1" applyAlignment="1" applyProtection="1">
      <alignment horizontal="center" vertical="center" wrapText="1"/>
      <protection/>
    </xf>
    <xf numFmtId="10" fontId="59" fillId="30" borderId="94" xfId="94" applyNumberFormat="1" applyFont="1" applyFill="1" applyBorder="1" applyAlignment="1" applyProtection="1">
      <alignment horizontal="center" vertical="center" wrapText="1"/>
      <protection/>
    </xf>
    <xf numFmtId="10" fontId="59" fillId="30" borderId="96" xfId="94" applyNumberFormat="1" applyFont="1" applyFill="1" applyBorder="1" applyAlignment="1" applyProtection="1">
      <alignment horizontal="center" vertical="center" wrapText="1"/>
      <protection/>
    </xf>
    <xf numFmtId="10" fontId="53" fillId="45" borderId="0" xfId="91" applyNumberFormat="1" applyFont="1" applyFill="1" applyBorder="1" applyAlignment="1" applyProtection="1">
      <alignment vertical="center" wrapText="1"/>
      <protection locked="0"/>
    </xf>
    <xf numFmtId="10" fontId="53" fillId="45" borderId="0" xfId="91" applyNumberFormat="1" applyFont="1" applyFill="1" applyBorder="1" applyAlignment="1" applyProtection="1">
      <alignment horizontal="justify" vertical="center" wrapText="1"/>
      <protection locked="0"/>
    </xf>
    <xf numFmtId="0" fontId="20" fillId="0" borderId="0" xfId="83" applyFont="1" applyAlignment="1" applyProtection="1">
      <alignment vertical="center"/>
      <protection/>
    </xf>
    <xf numFmtId="4" fontId="31" fillId="51" borderId="39" xfId="0" applyNumberFormat="1" applyFont="1" applyFill="1" applyBorder="1" applyAlignment="1" applyProtection="1">
      <alignment horizontal="center" vertical="center" wrapText="1"/>
      <protection locked="0"/>
    </xf>
    <xf numFmtId="4" fontId="31" fillId="51" borderId="38" xfId="0" applyNumberFormat="1" applyFont="1" applyFill="1" applyBorder="1" applyAlignment="1" applyProtection="1">
      <alignment horizontal="center" vertical="center" wrapText="1"/>
      <protection locked="0"/>
    </xf>
    <xf numFmtId="4" fontId="31" fillId="51" borderId="165" xfId="0" applyNumberFormat="1" applyFont="1" applyFill="1" applyBorder="1" applyAlignment="1" applyProtection="1">
      <alignment horizontal="center" vertical="center" wrapText="1"/>
      <protection locked="0"/>
    </xf>
    <xf numFmtId="4" fontId="31" fillId="51" borderId="166" xfId="0" applyNumberFormat="1" applyFont="1" applyFill="1" applyBorder="1" applyAlignment="1" applyProtection="1">
      <alignment horizontal="center" vertical="center" wrapText="1"/>
      <protection locked="0"/>
    </xf>
    <xf numFmtId="4" fontId="31" fillId="51" borderId="47" xfId="0" applyNumberFormat="1" applyFont="1" applyFill="1" applyBorder="1" applyAlignment="1" applyProtection="1">
      <alignment horizontal="center" vertical="center" wrapText="1"/>
      <protection locked="0"/>
    </xf>
    <xf numFmtId="4" fontId="31" fillId="51" borderId="167" xfId="0" applyNumberFormat="1" applyFont="1" applyFill="1" applyBorder="1" applyAlignment="1" applyProtection="1">
      <alignment horizontal="center" vertical="center" wrapText="1"/>
      <protection locked="0"/>
    </xf>
    <xf numFmtId="4" fontId="31" fillId="51" borderId="168" xfId="0" applyNumberFormat="1" applyFont="1" applyFill="1" applyBorder="1" applyAlignment="1" applyProtection="1">
      <alignment horizontal="center" vertical="center" wrapText="1"/>
      <protection locked="0"/>
    </xf>
    <xf numFmtId="0" fontId="31" fillId="51" borderId="169" xfId="0" applyNumberFormat="1" applyFont="1" applyFill="1" applyBorder="1" applyAlignment="1" applyProtection="1">
      <alignment horizontal="center" vertical="center" wrapText="1"/>
      <protection locked="0"/>
    </xf>
    <xf numFmtId="0" fontId="31" fillId="51" borderId="143" xfId="0" applyNumberFormat="1" applyFont="1" applyFill="1" applyBorder="1" applyAlignment="1" applyProtection="1">
      <alignment horizontal="center" vertical="center" wrapText="1"/>
      <protection locked="0"/>
    </xf>
    <xf numFmtId="0" fontId="31" fillId="51" borderId="170" xfId="0" applyNumberFormat="1" applyFont="1" applyFill="1" applyBorder="1" applyAlignment="1" applyProtection="1">
      <alignment horizontal="center" vertical="center" wrapText="1"/>
      <protection locked="0"/>
    </xf>
    <xf numFmtId="4" fontId="31" fillId="51" borderId="40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0" xfId="0" applyNumberFormat="1" applyFont="1" applyAlignment="1">
      <alignment horizontal="center"/>
    </xf>
    <xf numFmtId="4" fontId="31" fillId="51" borderId="171" xfId="0" applyNumberFormat="1" applyFont="1" applyFill="1" applyBorder="1" applyAlignment="1" applyProtection="1">
      <alignment horizontal="center" vertical="center" wrapText="1"/>
      <protection locked="0"/>
    </xf>
    <xf numFmtId="4" fontId="31" fillId="51" borderId="172" xfId="0" applyNumberFormat="1" applyFont="1" applyFill="1" applyBorder="1" applyAlignment="1" applyProtection="1">
      <alignment horizontal="center" vertical="center" wrapText="1"/>
      <protection locked="0"/>
    </xf>
    <xf numFmtId="4" fontId="31" fillId="51" borderId="173" xfId="0" applyNumberFormat="1" applyFont="1" applyFill="1" applyBorder="1" applyAlignment="1" applyProtection="1">
      <alignment horizontal="center" vertical="center" wrapText="1"/>
      <protection locked="0"/>
    </xf>
    <xf numFmtId="4" fontId="31" fillId="51" borderId="174" xfId="0" applyNumberFormat="1" applyFont="1" applyFill="1" applyBorder="1" applyAlignment="1" applyProtection="1">
      <alignment horizontal="center" vertical="center" wrapText="1"/>
      <protection locked="0"/>
    </xf>
    <xf numFmtId="4" fontId="31" fillId="51" borderId="175" xfId="0" applyNumberFormat="1" applyFont="1" applyFill="1" applyBorder="1" applyAlignment="1" applyProtection="1">
      <alignment horizontal="center" vertical="center" wrapText="1"/>
      <protection locked="0"/>
    </xf>
    <xf numFmtId="4" fontId="31" fillId="51" borderId="176" xfId="0" applyNumberFormat="1" applyFont="1" applyFill="1" applyBorder="1" applyAlignment="1" applyProtection="1">
      <alignment horizontal="center" vertical="center" wrapText="1"/>
      <protection locked="0"/>
    </xf>
    <xf numFmtId="0" fontId="31" fillId="54" borderId="177" xfId="0" applyNumberFormat="1" applyFont="1" applyFill="1" applyBorder="1" applyAlignment="1" applyProtection="1">
      <alignment/>
      <protection locked="0"/>
    </xf>
    <xf numFmtId="0" fontId="31" fillId="54" borderId="178" xfId="0" applyNumberFormat="1" applyFont="1" applyFill="1" applyBorder="1" applyAlignment="1" applyProtection="1">
      <alignment/>
      <protection locked="0"/>
    </xf>
    <xf numFmtId="0" fontId="31" fillId="54" borderId="46" xfId="0" applyNumberFormat="1" applyFont="1" applyFill="1" applyBorder="1" applyAlignment="1" applyProtection="1">
      <alignment/>
      <protection locked="0"/>
    </xf>
    <xf numFmtId="0" fontId="31" fillId="51" borderId="50" xfId="0" applyNumberFormat="1" applyFont="1" applyFill="1" applyBorder="1" applyAlignment="1" applyProtection="1">
      <alignment horizontal="center" vertical="center" wrapText="1"/>
      <protection locked="0"/>
    </xf>
    <xf numFmtId="0" fontId="31" fillId="51" borderId="48" xfId="0" applyNumberFormat="1" applyFont="1" applyFill="1" applyBorder="1" applyAlignment="1" applyProtection="1">
      <alignment horizontal="center" vertical="center" wrapText="1"/>
      <protection locked="0"/>
    </xf>
    <xf numFmtId="0" fontId="31" fillId="51" borderId="179" xfId="0" applyNumberFormat="1" applyFont="1" applyFill="1" applyBorder="1" applyAlignment="1" applyProtection="1">
      <alignment horizontal="center" vertical="center" wrapText="1"/>
      <protection locked="0"/>
    </xf>
    <xf numFmtId="0" fontId="27" fillId="53" borderId="180" xfId="0" applyNumberFormat="1" applyFont="1" applyFill="1" applyBorder="1" applyAlignment="1" applyProtection="1">
      <alignment horizontal="center"/>
      <protection locked="0"/>
    </xf>
    <xf numFmtId="0" fontId="27" fillId="53" borderId="181" xfId="0" applyNumberFormat="1" applyFont="1" applyFill="1" applyBorder="1" applyAlignment="1" applyProtection="1">
      <alignment horizontal="center"/>
      <protection locked="0"/>
    </xf>
    <xf numFmtId="0" fontId="27" fillId="53" borderId="182" xfId="0" applyNumberFormat="1" applyFont="1" applyFill="1" applyBorder="1" applyAlignment="1" applyProtection="1">
      <alignment horizontal="center"/>
      <protection locked="0"/>
    </xf>
    <xf numFmtId="4" fontId="31" fillId="51" borderId="51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0" xfId="0" applyNumberFormat="1" applyFont="1" applyAlignment="1">
      <alignment horizontal="center"/>
    </xf>
    <xf numFmtId="4" fontId="31" fillId="51" borderId="44" xfId="0" applyNumberFormat="1" applyFont="1" applyFill="1" applyBorder="1" applyAlignment="1" applyProtection="1">
      <alignment horizontal="center" vertical="center" wrapText="1"/>
      <protection locked="0"/>
    </xf>
    <xf numFmtId="4" fontId="31" fillId="51" borderId="143" xfId="0" applyNumberFormat="1" applyFont="1" applyFill="1" applyBorder="1" applyAlignment="1" applyProtection="1">
      <alignment horizontal="center" vertical="center" wrapText="1"/>
      <protection locked="0"/>
    </xf>
    <xf numFmtId="4" fontId="31" fillId="51" borderId="170" xfId="0" applyNumberFormat="1" applyFont="1" applyFill="1" applyBorder="1" applyAlignment="1" applyProtection="1">
      <alignment horizontal="center" vertical="center" wrapText="1"/>
      <protection locked="0"/>
    </xf>
    <xf numFmtId="0" fontId="31" fillId="54" borderId="179" xfId="0" applyNumberFormat="1" applyFont="1" applyFill="1" applyBorder="1" applyAlignment="1" applyProtection="1">
      <alignment/>
      <protection locked="0"/>
    </xf>
    <xf numFmtId="0" fontId="31" fillId="54" borderId="40" xfId="0" applyNumberFormat="1" applyFont="1" applyFill="1" applyBorder="1" applyAlignment="1" applyProtection="1">
      <alignment/>
      <protection locked="0"/>
    </xf>
    <xf numFmtId="4" fontId="31" fillId="51" borderId="52" xfId="0" applyNumberFormat="1" applyFont="1" applyFill="1" applyBorder="1" applyAlignment="1" applyProtection="1">
      <alignment horizontal="center" vertical="center" wrapText="1"/>
      <protection locked="0"/>
    </xf>
    <xf numFmtId="4" fontId="31" fillId="51" borderId="49" xfId="0" applyNumberFormat="1" applyFont="1" applyFill="1" applyBorder="1" applyAlignment="1" applyProtection="1">
      <alignment horizontal="center" vertical="center" wrapText="1"/>
      <protection locked="0"/>
    </xf>
    <xf numFmtId="0" fontId="31" fillId="51" borderId="44" xfId="0" applyNumberFormat="1" applyFont="1" applyFill="1" applyBorder="1" applyAlignment="1" applyProtection="1">
      <alignment horizontal="center" vertical="center"/>
      <protection locked="0"/>
    </xf>
    <xf numFmtId="0" fontId="31" fillId="51" borderId="170" xfId="0" applyNumberFormat="1" applyFont="1" applyFill="1" applyBorder="1" applyAlignment="1" applyProtection="1">
      <alignment horizontal="center" vertical="center"/>
      <protection locked="0"/>
    </xf>
    <xf numFmtId="0" fontId="10" fillId="58" borderId="67" xfId="0" applyFont="1" applyFill="1" applyBorder="1" applyAlignment="1">
      <alignment horizontal="center"/>
    </xf>
    <xf numFmtId="0" fontId="30" fillId="48" borderId="0" xfId="0" applyNumberFormat="1" applyFont="1" applyFill="1" applyBorder="1" applyAlignment="1" applyProtection="1">
      <alignment/>
      <protection locked="0"/>
    </xf>
    <xf numFmtId="0" fontId="30" fillId="48" borderId="71" xfId="0" applyNumberFormat="1" applyFont="1" applyFill="1" applyBorder="1" applyAlignment="1">
      <alignment/>
    </xf>
    <xf numFmtId="0" fontId="42" fillId="30" borderId="183" xfId="0" applyFont="1" applyFill="1" applyBorder="1" applyAlignment="1">
      <alignment horizontal="center" vertical="center" wrapText="1"/>
    </xf>
    <xf numFmtId="0" fontId="42" fillId="30" borderId="184" xfId="0" applyFont="1" applyFill="1" applyBorder="1" applyAlignment="1">
      <alignment horizontal="center" vertical="center" wrapText="1"/>
    </xf>
    <xf numFmtId="4" fontId="21" fillId="30" borderId="61" xfId="0" applyNumberFormat="1" applyFont="1" applyFill="1" applyBorder="1" applyAlignment="1">
      <alignment horizontal="center"/>
    </xf>
    <xf numFmtId="4" fontId="21" fillId="30" borderId="62" xfId="0" applyNumberFormat="1" applyFont="1" applyFill="1" applyBorder="1" applyAlignment="1">
      <alignment horizontal="center"/>
    </xf>
    <xf numFmtId="0" fontId="41" fillId="55" borderId="185" xfId="0" applyFont="1" applyFill="1" applyBorder="1" applyAlignment="1">
      <alignment horizontal="center" vertical="center"/>
    </xf>
    <xf numFmtId="0" fontId="41" fillId="55" borderId="186" xfId="0" applyFont="1" applyFill="1" applyBorder="1" applyAlignment="1">
      <alignment horizontal="center" vertical="center"/>
    </xf>
    <xf numFmtId="17" fontId="42" fillId="55" borderId="187" xfId="0" applyNumberFormat="1" applyFont="1" applyFill="1" applyBorder="1" applyAlignment="1">
      <alignment horizontal="center" vertical="center"/>
    </xf>
    <xf numFmtId="17" fontId="42" fillId="55" borderId="188" xfId="0" applyNumberFormat="1" applyFont="1" applyFill="1" applyBorder="1" applyAlignment="1">
      <alignment horizontal="center" vertical="center" wrapText="1"/>
    </xf>
    <xf numFmtId="17" fontId="42" fillId="55" borderId="55" xfId="0" applyNumberFormat="1" applyFont="1" applyFill="1" applyBorder="1" applyAlignment="1">
      <alignment horizontal="center" vertical="center" wrapText="1"/>
    </xf>
    <xf numFmtId="4" fontId="31" fillId="51" borderId="160" xfId="0" applyNumberFormat="1" applyFont="1" applyFill="1" applyBorder="1" applyAlignment="1" applyProtection="1">
      <alignment horizontal="center" vertical="center" wrapText="1"/>
      <protection locked="0"/>
    </xf>
    <xf numFmtId="4" fontId="31" fillId="51" borderId="189" xfId="0" applyNumberFormat="1" applyFont="1" applyFill="1" applyBorder="1" applyAlignment="1" applyProtection="1">
      <alignment horizontal="center" vertical="center" wrapText="1"/>
      <protection locked="0"/>
    </xf>
    <xf numFmtId="4" fontId="31" fillId="51" borderId="190" xfId="0" applyNumberFormat="1" applyFont="1" applyFill="1" applyBorder="1" applyAlignment="1" applyProtection="1">
      <alignment horizontal="center" vertical="center" wrapText="1"/>
      <protection locked="0"/>
    </xf>
    <xf numFmtId="4" fontId="4" fillId="28" borderId="160" xfId="0" applyNumberFormat="1" applyFont="1" applyFill="1" applyBorder="1" applyAlignment="1" applyProtection="1">
      <alignment horizontal="center" vertical="center"/>
      <protection locked="0"/>
    </xf>
    <xf numFmtId="4" fontId="4" fillId="28" borderId="173" xfId="0" applyNumberFormat="1" applyFont="1" applyFill="1" applyBorder="1" applyAlignment="1" applyProtection="1">
      <alignment horizontal="center" vertical="center"/>
      <protection locked="0"/>
    </xf>
    <xf numFmtId="4" fontId="4" fillId="28" borderId="191" xfId="0" applyNumberFormat="1" applyFont="1" applyFill="1" applyBorder="1" applyAlignment="1" applyProtection="1">
      <alignment horizontal="center" vertical="center"/>
      <protection locked="0"/>
    </xf>
    <xf numFmtId="4" fontId="5" fillId="45" borderId="192" xfId="0" applyNumberFormat="1" applyFont="1" applyFill="1" applyBorder="1" applyAlignment="1" applyProtection="1">
      <alignment horizontal="right" vertical="center"/>
      <protection locked="0"/>
    </xf>
    <xf numFmtId="0" fontId="13" fillId="48" borderId="193" xfId="0" applyFont="1" applyFill="1" applyBorder="1" applyAlignment="1" applyProtection="1">
      <alignment horizontal="left"/>
      <protection locked="0"/>
    </xf>
    <xf numFmtId="0" fontId="13" fillId="48" borderId="194" xfId="0" applyFont="1" applyFill="1" applyBorder="1" applyAlignment="1" applyProtection="1">
      <alignment horizontal="center" vertical="center"/>
      <protection locked="0"/>
    </xf>
    <xf numFmtId="0" fontId="13" fillId="48" borderId="195" xfId="0" applyFont="1" applyFill="1" applyBorder="1" applyAlignment="1" applyProtection="1">
      <alignment horizontal="center" vertical="center" wrapText="1"/>
      <protection locked="0"/>
    </xf>
    <xf numFmtId="0" fontId="13" fillId="48" borderId="195" xfId="0" applyFont="1" applyFill="1" applyBorder="1" applyAlignment="1" applyProtection="1">
      <alignment horizontal="left" vertical="center"/>
      <protection locked="0"/>
    </xf>
    <xf numFmtId="0" fontId="24" fillId="48" borderId="196" xfId="0" applyFont="1" applyFill="1" applyBorder="1" applyAlignment="1" applyProtection="1">
      <alignment horizontal="center"/>
      <protection locked="0"/>
    </xf>
    <xf numFmtId="0" fontId="24" fillId="48" borderId="115" xfId="0" applyFont="1" applyFill="1" applyBorder="1" applyAlignment="1" applyProtection="1">
      <alignment horizontal="center"/>
      <protection locked="0"/>
    </xf>
    <xf numFmtId="0" fontId="24" fillId="48" borderId="11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3" fillId="0" borderId="197" xfId="0" applyFont="1" applyBorder="1" applyAlignment="1" applyProtection="1">
      <alignment horizontal="left"/>
      <protection locked="0"/>
    </xf>
    <xf numFmtId="0" fontId="13" fillId="0" borderId="168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90" fillId="0" borderId="39" xfId="0" applyFont="1" applyBorder="1" applyAlignment="1" applyProtection="1">
      <alignment horizontal="center" vertical="center"/>
      <protection locked="0"/>
    </xf>
    <xf numFmtId="0" fontId="24" fillId="48" borderId="173" xfId="0" applyFont="1" applyFill="1" applyBorder="1" applyAlignment="1" applyProtection="1">
      <alignment horizontal="center"/>
      <protection locked="0"/>
    </xf>
    <xf numFmtId="0" fontId="24" fillId="48" borderId="0" xfId="0" applyFont="1" applyFill="1" applyBorder="1" applyAlignment="1" applyProtection="1">
      <alignment horizontal="center"/>
      <protection locked="0"/>
    </xf>
    <xf numFmtId="0" fontId="24" fillId="48" borderId="100" xfId="0" applyFont="1" applyFill="1" applyBorder="1" applyAlignment="1" applyProtection="1">
      <alignment horizontal="center"/>
      <protection locked="0"/>
    </xf>
    <xf numFmtId="0" fontId="91" fillId="0" borderId="39" xfId="0" applyFont="1" applyBorder="1" applyAlignment="1" applyProtection="1">
      <alignment horizontal="center" vertical="center"/>
      <protection locked="0"/>
    </xf>
    <xf numFmtId="0" fontId="5" fillId="0" borderId="198" xfId="0" applyFont="1" applyFill="1" applyBorder="1" applyAlignment="1" applyProtection="1">
      <alignment horizontal="left"/>
      <protection locked="0"/>
    </xf>
    <xf numFmtId="0" fontId="5" fillId="0" borderId="199" xfId="0" applyFont="1" applyFill="1" applyBorder="1" applyAlignment="1" applyProtection="1">
      <alignment horizontal="center" vertical="center"/>
      <protection locked="0"/>
    </xf>
    <xf numFmtId="0" fontId="5" fillId="0" borderId="200" xfId="0" applyFont="1" applyFill="1" applyBorder="1" applyAlignment="1" applyProtection="1">
      <alignment horizontal="center" vertical="center"/>
      <protection locked="0"/>
    </xf>
    <xf numFmtId="0" fontId="5" fillId="0" borderId="200" xfId="0" applyFont="1" applyFill="1" applyBorder="1" applyAlignment="1" applyProtection="1">
      <alignment horizontal="left" vertical="center"/>
      <protection locked="0"/>
    </xf>
    <xf numFmtId="0" fontId="24" fillId="48" borderId="191" xfId="0" applyFont="1" applyFill="1" applyBorder="1" applyAlignment="1" applyProtection="1">
      <alignment horizontal="center"/>
      <protection locked="0"/>
    </xf>
    <xf numFmtId="0" fontId="24" fillId="48" borderId="201" xfId="0" applyFont="1" applyFill="1" applyBorder="1" applyAlignment="1" applyProtection="1">
      <alignment horizontal="center"/>
      <protection locked="0"/>
    </xf>
    <xf numFmtId="0" fontId="24" fillId="48" borderId="202" xfId="0" applyFont="1" applyFill="1" applyBorder="1" applyAlignment="1" applyProtection="1">
      <alignment horizontal="center"/>
      <protection locked="0"/>
    </xf>
    <xf numFmtId="0" fontId="5" fillId="0" borderId="90" xfId="0" applyFont="1" applyBorder="1" applyAlignment="1" applyProtection="1">
      <alignment horizontal="center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4" fontId="5" fillId="0" borderId="90" xfId="0" applyNumberFormat="1" applyFont="1" applyBorder="1" applyAlignment="1" applyProtection="1">
      <alignment vertical="center"/>
      <protection locked="0"/>
    </xf>
    <xf numFmtId="0" fontId="5" fillId="0" borderId="9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13" fillId="60" borderId="90" xfId="0" applyNumberFormat="1" applyFont="1" applyFill="1" applyBorder="1" applyAlignment="1" applyProtection="1">
      <alignment horizontal="right" vertical="center"/>
      <protection locked="0"/>
    </xf>
    <xf numFmtId="4" fontId="5" fillId="45" borderId="90" xfId="0" applyNumberFormat="1" applyFont="1" applyFill="1" applyBorder="1" applyAlignment="1" applyProtection="1">
      <alignment horizontal="right" vertical="center"/>
      <protection locked="0"/>
    </xf>
    <xf numFmtId="4" fontId="5" fillId="56" borderId="90" xfId="0" applyNumberFormat="1" applyFont="1" applyFill="1" applyBorder="1" applyAlignment="1" applyProtection="1">
      <alignment horizontal="right" vertical="center"/>
      <protection locked="0"/>
    </xf>
    <xf numFmtId="4" fontId="5" fillId="48" borderId="9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4" fontId="4" fillId="45" borderId="9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90" xfId="0" applyNumberFormat="1" applyFont="1" applyBorder="1" applyAlignment="1" applyProtection="1">
      <alignment vertical="center" wrapText="1"/>
      <protection locked="0"/>
    </xf>
    <xf numFmtId="4" fontId="12" fillId="50" borderId="90" xfId="0" applyNumberFormat="1" applyFont="1" applyFill="1" applyBorder="1" applyAlignment="1" applyProtection="1">
      <alignment horizontal="right" vertical="center" wrapText="1"/>
      <protection locked="0"/>
    </xf>
    <xf numFmtId="0" fontId="0" fillId="43" borderId="0" xfId="0" applyFill="1" applyAlignment="1" applyProtection="1">
      <alignment/>
      <protection locked="0"/>
    </xf>
    <xf numFmtId="2" fontId="5" fillId="0" borderId="90" xfId="0" applyNumberFormat="1" applyFont="1" applyBorder="1" applyAlignment="1" applyProtection="1">
      <alignment vertical="center"/>
      <protection locked="0"/>
    </xf>
    <xf numFmtId="0" fontId="5" fillId="0" borderId="90" xfId="0" applyFont="1" applyBorder="1" applyAlignment="1" applyProtection="1">
      <alignment/>
      <protection locked="0"/>
    </xf>
    <xf numFmtId="0" fontId="0" fillId="56" borderId="0" xfId="0" applyFill="1" applyAlignment="1" applyProtection="1">
      <alignment/>
      <protection locked="0"/>
    </xf>
    <xf numFmtId="0" fontId="0" fillId="56" borderId="0" xfId="0" applyFill="1" applyAlignment="1" applyProtection="1">
      <alignment vertical="center"/>
      <protection locked="0"/>
    </xf>
    <xf numFmtId="4" fontId="5" fillId="60" borderId="90" xfId="0" applyNumberFormat="1" applyFont="1" applyFill="1" applyBorder="1" applyAlignment="1" applyProtection="1">
      <alignment vertical="center"/>
      <protection locked="0"/>
    </xf>
    <xf numFmtId="0" fontId="5" fillId="60" borderId="90" xfId="0" applyFont="1" applyFill="1" applyBorder="1" applyAlignment="1" applyProtection="1">
      <alignment vertical="center"/>
      <protection locked="0"/>
    </xf>
    <xf numFmtId="4" fontId="9" fillId="56" borderId="90" xfId="0" applyNumberFormat="1" applyFont="1" applyFill="1" applyBorder="1" applyAlignment="1" applyProtection="1">
      <alignment horizontal="right" vertical="center" wrapText="1"/>
      <protection locked="0"/>
    </xf>
    <xf numFmtId="4" fontId="12" fillId="56" borderId="90" xfId="0" applyNumberFormat="1" applyFont="1" applyFill="1" applyBorder="1" applyAlignment="1" applyProtection="1">
      <alignment horizontal="right" vertical="center" wrapText="1"/>
      <protection locked="0"/>
    </xf>
    <xf numFmtId="0" fontId="4" fillId="16" borderId="90" xfId="0" applyFont="1" applyFill="1" applyBorder="1" applyAlignment="1" applyProtection="1">
      <alignment horizontal="right" vertical="center" wrapText="1"/>
      <protection locked="0"/>
    </xf>
    <xf numFmtId="0" fontId="5" fillId="48" borderId="32" xfId="0" applyFont="1" applyFill="1" applyBorder="1" applyAlignment="1" applyProtection="1">
      <alignment horizontal="left" wrapText="1"/>
      <protection locked="0"/>
    </xf>
    <xf numFmtId="0" fontId="5" fillId="48" borderId="0" xfId="0" applyFont="1" applyFill="1" applyBorder="1" applyAlignment="1" applyProtection="1">
      <alignment horizontal="left" wrapText="1"/>
      <protection locked="0"/>
    </xf>
    <xf numFmtId="0" fontId="4" fillId="48" borderId="0" xfId="0" applyFont="1" applyFill="1" applyBorder="1" applyAlignment="1" applyProtection="1">
      <alignment horizontal="right" vertical="center" wrapText="1"/>
      <protection locked="0"/>
    </xf>
    <xf numFmtId="4" fontId="4" fillId="48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56" borderId="0" xfId="0" applyNumberFormat="1" applyFont="1" applyFill="1" applyBorder="1" applyAlignment="1" applyProtection="1">
      <alignment horizontal="right" vertical="center"/>
      <protection locked="0"/>
    </xf>
    <xf numFmtId="0" fontId="4" fillId="48" borderId="32" xfId="0" applyFont="1" applyFill="1" applyBorder="1" applyAlignment="1" applyProtection="1">
      <alignment horizontal="right" wrapText="1"/>
      <protection locked="0"/>
    </xf>
    <xf numFmtId="0" fontId="4" fillId="48" borderId="0" xfId="0" applyFont="1" applyFill="1" applyBorder="1" applyAlignment="1" applyProtection="1">
      <alignment horizontal="center" vertical="center" wrapText="1"/>
      <protection locked="0"/>
    </xf>
    <xf numFmtId="0" fontId="4" fillId="48" borderId="0" xfId="0" applyFont="1" applyFill="1" applyBorder="1" applyAlignment="1" applyProtection="1">
      <alignment horizontal="left" vertical="center" wrapText="1"/>
      <protection locked="0"/>
    </xf>
    <xf numFmtId="0" fontId="20" fillId="48" borderId="32" xfId="0" applyFont="1" applyFill="1" applyBorder="1" applyAlignment="1" applyProtection="1">
      <alignment wrapText="1"/>
      <protection locked="0"/>
    </xf>
    <xf numFmtId="0" fontId="20" fillId="48" borderId="0" xfId="0" applyFont="1" applyFill="1" applyBorder="1" applyAlignment="1" applyProtection="1">
      <alignment wrapText="1"/>
      <protection locked="0"/>
    </xf>
    <xf numFmtId="0" fontId="20" fillId="48" borderId="0" xfId="0" applyFont="1" applyFill="1" applyBorder="1" applyAlignment="1" applyProtection="1">
      <alignment vertical="center" wrapText="1"/>
      <protection locked="0"/>
    </xf>
    <xf numFmtId="4" fontId="20" fillId="48" borderId="0" xfId="0" applyNumberFormat="1" applyFont="1" applyFill="1" applyBorder="1" applyAlignment="1" applyProtection="1">
      <alignment wrapText="1"/>
      <protection locked="0"/>
    </xf>
    <xf numFmtId="0" fontId="0" fillId="48" borderId="0" xfId="0" applyFont="1" applyFill="1" applyBorder="1" applyAlignment="1" applyProtection="1">
      <alignment wrapText="1"/>
      <protection locked="0"/>
    </xf>
    <xf numFmtId="0" fontId="20" fillId="48" borderId="34" xfId="0" applyFont="1" applyFill="1" applyBorder="1" applyAlignment="1" applyProtection="1">
      <alignment wrapText="1"/>
      <protection locked="0"/>
    </xf>
    <xf numFmtId="0" fontId="20" fillId="48" borderId="29" xfId="0" applyFont="1" applyFill="1" applyBorder="1" applyAlignment="1" applyProtection="1">
      <alignment wrapText="1"/>
      <protection locked="0"/>
    </xf>
    <xf numFmtId="0" fontId="20" fillId="48" borderId="29" xfId="0" applyFont="1" applyFill="1" applyBorder="1" applyAlignment="1" applyProtection="1">
      <alignment vertical="center" wrapText="1"/>
      <protection locked="0"/>
    </xf>
    <xf numFmtId="4" fontId="20" fillId="48" borderId="29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2" fillId="0" borderId="203" xfId="0" applyFont="1" applyBorder="1" applyAlignment="1" applyProtection="1">
      <alignment horizontal="left" vertical="center"/>
      <protection/>
    </xf>
    <xf numFmtId="0" fontId="3" fillId="0" borderId="137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204" xfId="0" applyFont="1" applyBorder="1" applyAlignment="1" applyProtection="1">
      <alignment horizontal="center" vertical="center" wrapText="1"/>
      <protection/>
    </xf>
    <xf numFmtId="0" fontId="4" fillId="0" borderId="192" xfId="0" applyFont="1" applyBorder="1" applyAlignment="1" applyProtection="1">
      <alignment horizontal="center" vertical="center" wrapText="1"/>
      <protection/>
    </xf>
    <xf numFmtId="0" fontId="4" fillId="0" borderId="205" xfId="0" applyFont="1" applyBorder="1" applyAlignment="1" applyProtection="1">
      <alignment horizontal="center" vertical="center" wrapText="1"/>
      <protection/>
    </xf>
    <xf numFmtId="0" fontId="4" fillId="0" borderId="206" xfId="0" applyFont="1" applyBorder="1" applyAlignment="1" applyProtection="1">
      <alignment horizontal="center" vertical="center" wrapText="1"/>
      <protection/>
    </xf>
    <xf numFmtId="0" fontId="4" fillId="0" borderId="201" xfId="0" applyFont="1" applyBorder="1" applyAlignment="1" applyProtection="1">
      <alignment horizontal="center" vertical="center" wrapText="1"/>
      <protection/>
    </xf>
    <xf numFmtId="0" fontId="4" fillId="0" borderId="202" xfId="0" applyFont="1" applyBorder="1" applyAlignment="1" applyProtection="1">
      <alignment horizontal="center" vertical="center" wrapText="1"/>
      <protection/>
    </xf>
    <xf numFmtId="0" fontId="2" fillId="0" borderId="111" xfId="0" applyFont="1" applyBorder="1" applyAlignment="1" applyProtection="1">
      <alignment horizontal="left" vertical="center"/>
      <protection/>
    </xf>
    <xf numFmtId="0" fontId="5" fillId="0" borderId="95" xfId="0" applyFont="1" applyBorder="1" applyAlignment="1" applyProtection="1">
      <alignment horizontal="left" vertical="center" wrapText="1"/>
      <protection/>
    </xf>
    <xf numFmtId="0" fontId="4" fillId="0" borderId="207" xfId="0" applyFont="1" applyBorder="1" applyAlignment="1" applyProtection="1">
      <alignment horizontal="left" vertical="center" wrapText="1"/>
      <protection/>
    </xf>
    <xf numFmtId="0" fontId="4" fillId="0" borderId="208" xfId="0" applyFont="1" applyBorder="1" applyAlignment="1" applyProtection="1">
      <alignment horizontal="left" vertical="center" wrapText="1"/>
      <protection/>
    </xf>
    <xf numFmtId="0" fontId="4" fillId="0" borderId="209" xfId="0" applyFont="1" applyBorder="1" applyAlignment="1" applyProtection="1">
      <alignment horizontal="left" vertical="center" wrapText="1"/>
      <protection/>
    </xf>
    <xf numFmtId="0" fontId="10" fillId="59" borderId="113" xfId="0" applyFont="1" applyFill="1" applyBorder="1" applyAlignment="1" applyProtection="1">
      <alignment horizontal="center" vertical="center"/>
      <protection/>
    </xf>
    <xf numFmtId="0" fontId="10" fillId="59" borderId="76" xfId="0" applyFont="1" applyFill="1" applyBorder="1" applyAlignment="1" applyProtection="1">
      <alignment horizontal="center" vertical="center"/>
      <protection/>
    </xf>
    <xf numFmtId="0" fontId="10" fillId="59" borderId="36" xfId="0" applyFont="1" applyFill="1" applyBorder="1" applyAlignment="1" applyProtection="1">
      <alignment horizontal="center" vertical="center"/>
      <protection/>
    </xf>
    <xf numFmtId="0" fontId="4" fillId="28" borderId="210" xfId="0" applyFont="1" applyFill="1" applyBorder="1" applyAlignment="1" applyProtection="1">
      <alignment horizontal="center" vertical="center"/>
      <protection/>
    </xf>
    <xf numFmtId="0" fontId="4" fillId="28" borderId="44" xfId="0" applyFont="1" applyFill="1" applyBorder="1" applyAlignment="1" applyProtection="1">
      <alignment horizontal="center" vertical="center"/>
      <protection/>
    </xf>
    <xf numFmtId="0" fontId="4" fillId="28" borderId="39" xfId="0" applyFont="1" applyFill="1" applyBorder="1" applyAlignment="1" applyProtection="1">
      <alignment horizontal="center" vertical="center" wrapText="1"/>
      <protection/>
    </xf>
    <xf numFmtId="4" fontId="4" fillId="28" borderId="39" xfId="0" applyNumberFormat="1" applyFont="1" applyFill="1" applyBorder="1" applyAlignment="1" applyProtection="1">
      <alignment horizontal="center" vertical="center"/>
      <protection/>
    </xf>
    <xf numFmtId="4" fontId="4" fillId="28" borderId="160" xfId="0" applyNumberFormat="1" applyFont="1" applyFill="1" applyBorder="1" applyAlignment="1" applyProtection="1">
      <alignment horizontal="center" vertical="center"/>
      <protection/>
    </xf>
    <xf numFmtId="4" fontId="4" fillId="28" borderId="211" xfId="0" applyNumberFormat="1" applyFont="1" applyFill="1" applyBorder="1" applyAlignment="1" applyProtection="1">
      <alignment horizontal="center" vertical="center"/>
      <protection/>
    </xf>
    <xf numFmtId="0" fontId="4" fillId="28" borderId="143" xfId="0" applyFont="1" applyFill="1" applyBorder="1" applyAlignment="1" applyProtection="1">
      <alignment horizontal="center" vertical="center"/>
      <protection/>
    </xf>
    <xf numFmtId="4" fontId="4" fillId="28" borderId="173" xfId="0" applyNumberFormat="1" applyFont="1" applyFill="1" applyBorder="1" applyAlignment="1" applyProtection="1">
      <alignment horizontal="center" vertical="center"/>
      <protection/>
    </xf>
    <xf numFmtId="4" fontId="4" fillId="28" borderId="212" xfId="0" applyNumberFormat="1" applyFont="1" applyFill="1" applyBorder="1" applyAlignment="1" applyProtection="1">
      <alignment horizontal="center" vertical="center"/>
      <protection/>
    </xf>
    <xf numFmtId="0" fontId="4" fillId="28" borderId="213" xfId="0" applyFont="1" applyFill="1" applyBorder="1" applyAlignment="1" applyProtection="1">
      <alignment horizontal="center" vertical="center"/>
      <protection/>
    </xf>
    <xf numFmtId="0" fontId="4" fillId="28" borderId="144" xfId="0" applyFont="1" applyFill="1" applyBorder="1" applyAlignment="1" applyProtection="1">
      <alignment horizontal="center" vertical="center"/>
      <protection/>
    </xf>
    <xf numFmtId="0" fontId="4" fillId="28" borderId="44" xfId="0" applyFont="1" applyFill="1" applyBorder="1" applyAlignment="1" applyProtection="1">
      <alignment horizontal="center" vertical="center" wrapText="1"/>
      <protection/>
    </xf>
    <xf numFmtId="4" fontId="4" fillId="28" borderId="44" xfId="0" applyNumberFormat="1" applyFont="1" applyFill="1" applyBorder="1" applyAlignment="1" applyProtection="1">
      <alignment horizontal="center" vertical="center"/>
      <protection/>
    </xf>
    <xf numFmtId="4" fontId="4" fillId="28" borderId="191" xfId="0" applyNumberFormat="1" applyFont="1" applyFill="1" applyBorder="1" applyAlignment="1" applyProtection="1">
      <alignment horizontal="center" vertical="center"/>
      <protection/>
    </xf>
    <xf numFmtId="4" fontId="4" fillId="28" borderId="214" xfId="0" applyNumberFormat="1" applyFont="1" applyFill="1" applyBorder="1" applyAlignment="1" applyProtection="1">
      <alignment horizontal="center" vertical="center"/>
      <protection/>
    </xf>
    <xf numFmtId="0" fontId="4" fillId="45" borderId="215" xfId="0" applyFont="1" applyFill="1" applyBorder="1" applyAlignment="1" applyProtection="1">
      <alignment horizontal="center"/>
      <protection/>
    </xf>
    <xf numFmtId="0" fontId="4" fillId="45" borderId="192" xfId="0" applyFont="1" applyFill="1" applyBorder="1" applyAlignment="1" applyProtection="1">
      <alignment horizontal="center" vertical="center"/>
      <protection/>
    </xf>
    <xf numFmtId="49" fontId="5" fillId="45" borderId="192" xfId="0" applyNumberFormat="1" applyFont="1" applyFill="1" applyBorder="1" applyAlignment="1" applyProtection="1">
      <alignment horizontal="center" vertical="center" wrapText="1"/>
      <protection/>
    </xf>
    <xf numFmtId="0" fontId="4" fillId="45" borderId="192" xfId="0" applyFont="1" applyFill="1" applyBorder="1" applyAlignment="1" applyProtection="1">
      <alignment horizontal="left" vertical="center" wrapText="1"/>
      <protection/>
    </xf>
    <xf numFmtId="0" fontId="5" fillId="45" borderId="192" xfId="0" applyFont="1" applyFill="1" applyBorder="1" applyAlignment="1" applyProtection="1">
      <alignment horizontal="center" vertical="center"/>
      <protection/>
    </xf>
    <xf numFmtId="4" fontId="5" fillId="45" borderId="192" xfId="122" applyNumberFormat="1" applyFont="1" applyFill="1" applyBorder="1" applyAlignment="1" applyProtection="1">
      <alignment horizontal="right" vertical="center"/>
      <protection/>
    </xf>
    <xf numFmtId="4" fontId="5" fillId="45" borderId="192" xfId="0" applyNumberFormat="1" applyFont="1" applyFill="1" applyBorder="1" applyAlignment="1" applyProtection="1">
      <alignment horizontal="right" vertical="center"/>
      <protection/>
    </xf>
    <xf numFmtId="4" fontId="5" fillId="45" borderId="216" xfId="0" applyNumberFormat="1" applyFont="1" applyFill="1" applyBorder="1" applyAlignment="1" applyProtection="1">
      <alignment horizontal="right" vertical="center"/>
      <protection/>
    </xf>
    <xf numFmtId="0" fontId="5" fillId="0" borderId="90" xfId="0" applyFont="1" applyBorder="1" applyAlignment="1" applyProtection="1">
      <alignment horizontal="center"/>
      <protection/>
    </xf>
    <xf numFmtId="0" fontId="5" fillId="0" borderId="90" xfId="0" applyFont="1" applyBorder="1" applyAlignment="1" applyProtection="1">
      <alignment horizontal="center" vertical="center"/>
      <protection/>
    </xf>
    <xf numFmtId="0" fontId="5" fillId="0" borderId="90" xfId="0" applyFont="1" applyBorder="1" applyAlignment="1" applyProtection="1">
      <alignment horizontal="left" vertical="center"/>
      <protection/>
    </xf>
    <xf numFmtId="4" fontId="5" fillId="0" borderId="90" xfId="122" applyNumberFormat="1" applyFont="1" applyBorder="1" applyAlignment="1" applyProtection="1">
      <alignment horizontal="right" vertical="center"/>
      <protection/>
    </xf>
    <xf numFmtId="0" fontId="5" fillId="0" borderId="90" xfId="0" applyFont="1" applyBorder="1" applyAlignment="1" applyProtection="1">
      <alignment horizontal="left" vertical="center" wrapText="1"/>
      <protection/>
    </xf>
    <xf numFmtId="0" fontId="13" fillId="60" borderId="90" xfId="0" applyFont="1" applyFill="1" applyBorder="1" applyAlignment="1" applyProtection="1">
      <alignment horizontal="center"/>
      <protection/>
    </xf>
    <xf numFmtId="0" fontId="13" fillId="60" borderId="90" xfId="0" applyFont="1" applyFill="1" applyBorder="1" applyAlignment="1" applyProtection="1">
      <alignment horizontal="center" vertical="center"/>
      <protection/>
    </xf>
    <xf numFmtId="49" fontId="13" fillId="60" borderId="90" xfId="0" applyNumberFormat="1" applyFont="1" applyFill="1" applyBorder="1" applyAlignment="1" applyProtection="1">
      <alignment horizontal="center" vertical="center" wrapText="1"/>
      <protection/>
    </xf>
    <xf numFmtId="0" fontId="12" fillId="60" borderId="90" xfId="0" applyFont="1" applyFill="1" applyBorder="1" applyAlignment="1" applyProtection="1">
      <alignment horizontal="left" vertical="center" wrapText="1"/>
      <protection/>
    </xf>
    <xf numFmtId="4" fontId="13" fillId="60" borderId="90" xfId="122" applyNumberFormat="1" applyFont="1" applyFill="1" applyBorder="1" applyAlignment="1" applyProtection="1">
      <alignment horizontal="right" vertical="center"/>
      <protection/>
    </xf>
    <xf numFmtId="0" fontId="4" fillId="45" borderId="90" xfId="0" applyFont="1" applyFill="1" applyBorder="1" applyAlignment="1" applyProtection="1">
      <alignment horizontal="center" vertical="center"/>
      <protection/>
    </xf>
    <xf numFmtId="49" fontId="4" fillId="45" borderId="90" xfId="0" applyNumberFormat="1" applyFont="1" applyFill="1" applyBorder="1" applyAlignment="1" applyProtection="1">
      <alignment horizontal="center" vertical="center" wrapText="1"/>
      <protection/>
    </xf>
    <xf numFmtId="0" fontId="4" fillId="45" borderId="90" xfId="0" applyFont="1" applyFill="1" applyBorder="1" applyAlignment="1" applyProtection="1">
      <alignment horizontal="left" vertical="center" wrapText="1"/>
      <protection/>
    </xf>
    <xf numFmtId="0" fontId="5" fillId="45" borderId="90" xfId="0" applyFont="1" applyFill="1" applyBorder="1" applyAlignment="1" applyProtection="1">
      <alignment horizontal="center" vertical="center"/>
      <protection/>
    </xf>
    <xf numFmtId="4" fontId="5" fillId="45" borderId="90" xfId="122" applyNumberFormat="1" applyFont="1" applyFill="1" applyBorder="1" applyAlignment="1" applyProtection="1">
      <alignment horizontal="right" vertical="center"/>
      <protection/>
    </xf>
    <xf numFmtId="0" fontId="5" fillId="0" borderId="90" xfId="0" applyFont="1" applyFill="1" applyBorder="1" applyAlignment="1" applyProtection="1">
      <alignment horizontal="center" vertical="center"/>
      <protection/>
    </xf>
    <xf numFmtId="49" fontId="5" fillId="0" borderId="9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56" borderId="90" xfId="0" applyFont="1" applyFill="1" applyBorder="1" applyAlignment="1" applyProtection="1">
      <alignment horizontal="center" vertical="center"/>
      <protection/>
    </xf>
    <xf numFmtId="2" fontId="5" fillId="56" borderId="90" xfId="0" applyNumberFormat="1" applyFont="1" applyFill="1" applyBorder="1" applyAlignment="1" applyProtection="1">
      <alignment vertical="center" wrapText="1"/>
      <protection/>
    </xf>
    <xf numFmtId="49" fontId="5" fillId="0" borderId="90" xfId="0" applyNumberFormat="1" applyFont="1" applyBorder="1" applyAlignment="1" applyProtection="1">
      <alignment horizontal="center" vertical="center" wrapText="1"/>
      <protection/>
    </xf>
    <xf numFmtId="43" fontId="5" fillId="0" borderId="90" xfId="123" applyFont="1" applyBorder="1" applyAlignment="1" applyProtection="1">
      <alignment vertical="center"/>
      <protection/>
    </xf>
    <xf numFmtId="0" fontId="5" fillId="0" borderId="90" xfId="0" applyFont="1" applyBorder="1" applyAlignment="1" applyProtection="1">
      <alignment wrapText="1"/>
      <protection/>
    </xf>
    <xf numFmtId="49" fontId="5" fillId="45" borderId="90" xfId="0" applyNumberFormat="1" applyFont="1" applyFill="1" applyBorder="1" applyAlignment="1" applyProtection="1">
      <alignment horizontal="center" vertical="center" wrapText="1"/>
      <protection/>
    </xf>
    <xf numFmtId="4" fontId="5" fillId="0" borderId="90" xfId="122" applyNumberFormat="1" applyFont="1" applyFill="1" applyBorder="1" applyAlignment="1" applyProtection="1">
      <alignment horizontal="right" vertical="center"/>
      <protection/>
    </xf>
    <xf numFmtId="0" fontId="5" fillId="56" borderId="90" xfId="0" applyFont="1" applyFill="1" applyBorder="1" applyAlignment="1" applyProtection="1">
      <alignment horizontal="left" vertical="center" wrapText="1"/>
      <protection/>
    </xf>
    <xf numFmtId="0" fontId="5" fillId="0" borderId="90" xfId="0" applyFont="1" applyFill="1" applyBorder="1" applyAlignment="1" applyProtection="1">
      <alignment horizontal="left" vertical="center" wrapText="1"/>
      <protection/>
    </xf>
    <xf numFmtId="0" fontId="5" fillId="0" borderId="90" xfId="0" applyFont="1" applyBorder="1" applyAlignment="1" applyProtection="1">
      <alignment horizontal="center" vertical="center" wrapText="1"/>
      <protection/>
    </xf>
    <xf numFmtId="0" fontId="4" fillId="45" borderId="90" xfId="0" applyFont="1" applyFill="1" applyBorder="1" applyAlignment="1" applyProtection="1">
      <alignment horizontal="center" vertical="center" wrapText="1"/>
      <protection/>
    </xf>
    <xf numFmtId="4" fontId="5" fillId="0" borderId="90" xfId="0" applyNumberFormat="1" applyFont="1" applyBorder="1" applyAlignment="1" applyProtection="1">
      <alignment vertical="center" wrapText="1"/>
      <protection/>
    </xf>
    <xf numFmtId="0" fontId="5" fillId="0" borderId="90" xfId="0" applyFont="1" applyBorder="1" applyAlignment="1" applyProtection="1">
      <alignment vertical="center" wrapText="1"/>
      <protection/>
    </xf>
    <xf numFmtId="43" fontId="5" fillId="0" borderId="90" xfId="0" applyNumberFormat="1" applyFont="1" applyBorder="1" applyAlignment="1" applyProtection="1">
      <alignment horizontal="center" vertical="center"/>
      <protection/>
    </xf>
    <xf numFmtId="0" fontId="12" fillId="50" borderId="90" xfId="0" applyFont="1" applyFill="1" applyBorder="1" applyAlignment="1" applyProtection="1">
      <alignment horizontal="center" vertical="center" wrapText="1"/>
      <protection/>
    </xf>
    <xf numFmtId="49" fontId="5" fillId="48" borderId="90" xfId="0" applyNumberFormat="1" applyFont="1" applyFill="1" applyBorder="1" applyAlignment="1" applyProtection="1">
      <alignment horizontal="center" vertical="center" wrapText="1"/>
      <protection/>
    </xf>
    <xf numFmtId="0" fontId="5" fillId="48" borderId="90" xfId="0" applyFont="1" applyFill="1" applyBorder="1" applyAlignment="1" applyProtection="1">
      <alignment horizontal="left" vertical="center" wrapText="1"/>
      <protection/>
    </xf>
    <xf numFmtId="4" fontId="5" fillId="48" borderId="90" xfId="122" applyNumberFormat="1" applyFont="1" applyFill="1" applyBorder="1" applyAlignment="1" applyProtection="1">
      <alignment horizontal="right" vertical="center"/>
      <protection/>
    </xf>
    <xf numFmtId="171" fontId="5" fillId="56" borderId="90" xfId="122" applyFont="1" applyFill="1" applyBorder="1" applyAlignment="1" applyProtection="1">
      <alignment horizontal="center" vertical="center"/>
      <protection/>
    </xf>
    <xf numFmtId="0" fontId="5" fillId="0" borderId="90" xfId="0" applyFont="1" applyBorder="1" applyAlignment="1" applyProtection="1">
      <alignment vertical="center"/>
      <protection/>
    </xf>
    <xf numFmtId="0" fontId="5" fillId="60" borderId="90" xfId="0" applyFont="1" applyFill="1" applyBorder="1" applyAlignment="1" applyProtection="1">
      <alignment horizontal="center" vertical="center"/>
      <protection/>
    </xf>
    <xf numFmtId="49" fontId="5" fillId="56" borderId="90" xfId="0" applyNumberFormat="1" applyFont="1" applyFill="1" applyBorder="1" applyAlignment="1" applyProtection="1">
      <alignment horizontal="center" vertical="center" wrapText="1"/>
      <protection/>
    </xf>
    <xf numFmtId="0" fontId="5" fillId="56" borderId="90" xfId="0" applyFont="1" applyFill="1" applyBorder="1" applyAlignment="1" applyProtection="1">
      <alignment horizontal="center" vertical="center"/>
      <protection/>
    </xf>
    <xf numFmtId="0" fontId="5" fillId="0" borderId="90" xfId="0" applyFont="1" applyFill="1" applyBorder="1" applyAlignment="1" applyProtection="1">
      <alignment vertical="center" wrapText="1"/>
      <protection/>
    </xf>
    <xf numFmtId="171" fontId="5" fillId="60" borderId="90" xfId="122" applyFont="1" applyFill="1" applyBorder="1" applyAlignment="1" applyProtection="1">
      <alignment horizontal="center" vertical="center"/>
      <protection/>
    </xf>
    <xf numFmtId="0" fontId="13" fillId="56" borderId="90" xfId="0" applyFont="1" applyFill="1" applyBorder="1" applyAlignment="1" applyProtection="1">
      <alignment horizontal="center" vertical="center"/>
      <protection/>
    </xf>
    <xf numFmtId="49" fontId="13" fillId="56" borderId="90" xfId="0" applyNumberFormat="1" applyFont="1" applyFill="1" applyBorder="1" applyAlignment="1" applyProtection="1">
      <alignment horizontal="center" vertical="center" wrapText="1"/>
      <protection/>
    </xf>
    <xf numFmtId="0" fontId="12" fillId="56" borderId="90" xfId="0" applyFont="1" applyFill="1" applyBorder="1" applyAlignment="1" applyProtection="1">
      <alignment horizontal="left" vertical="center" wrapText="1"/>
      <protection/>
    </xf>
    <xf numFmtId="0" fontId="12" fillId="56" borderId="90" xfId="0" applyFont="1" applyFill="1" applyBorder="1" applyAlignment="1" applyProtection="1">
      <alignment horizontal="center" vertical="center" wrapText="1"/>
      <protection/>
    </xf>
    <xf numFmtId="4" fontId="13" fillId="56" borderId="90" xfId="122" applyNumberFormat="1" applyFont="1" applyFill="1" applyBorder="1" applyAlignment="1" applyProtection="1">
      <alignment horizontal="right" vertical="center"/>
      <protection/>
    </xf>
    <xf numFmtId="0" fontId="4" fillId="16" borderId="90" xfId="0" applyFont="1" applyFill="1" applyBorder="1" applyAlignment="1" applyProtection="1">
      <alignment horizontal="right" wrapText="1"/>
      <protection/>
    </xf>
    <xf numFmtId="4" fontId="12" fillId="50" borderId="90" xfId="0" applyNumberFormat="1" applyFont="1" applyFill="1" applyBorder="1" applyAlignment="1" applyProtection="1">
      <alignment horizontal="right" vertical="center" wrapText="1"/>
      <protection/>
    </xf>
    <xf numFmtId="4" fontId="12" fillId="56" borderId="90" xfId="0" applyNumberFormat="1" applyFont="1" applyFill="1" applyBorder="1" applyAlignment="1" applyProtection="1">
      <alignment horizontal="right" vertical="center" wrapText="1"/>
      <protection/>
    </xf>
    <xf numFmtId="4" fontId="4" fillId="16" borderId="90" xfId="0" applyNumberFormat="1" applyFont="1" applyFill="1" applyBorder="1" applyAlignment="1" applyProtection="1">
      <alignment horizontal="right" vertical="center" wrapText="1"/>
      <protection/>
    </xf>
    <xf numFmtId="4" fontId="5" fillId="28" borderId="90" xfId="122" applyNumberFormat="1" applyFont="1" applyFill="1" applyBorder="1" applyAlignment="1" applyProtection="1">
      <alignment horizontal="right" vertical="center"/>
      <protection/>
    </xf>
    <xf numFmtId="4" fontId="12" fillId="60" borderId="90" xfId="122" applyNumberFormat="1" applyFont="1" applyFill="1" applyBorder="1" applyAlignment="1" applyProtection="1">
      <alignment horizontal="right" vertical="center"/>
      <protection/>
    </xf>
    <xf numFmtId="4" fontId="5" fillId="45" borderId="90" xfId="0" applyNumberFormat="1" applyFont="1" applyFill="1" applyBorder="1" applyAlignment="1" applyProtection="1">
      <alignment horizontal="right" vertical="center"/>
      <protection/>
    </xf>
    <xf numFmtId="4" fontId="5" fillId="61" borderId="90" xfId="0" applyNumberFormat="1" applyFont="1" applyFill="1" applyBorder="1" applyAlignment="1" applyProtection="1">
      <alignment horizontal="right" vertical="center"/>
      <protection/>
    </xf>
    <xf numFmtId="4" fontId="5" fillId="28" borderId="90" xfId="0" applyNumberFormat="1" applyFont="1" applyFill="1" applyBorder="1" applyAlignment="1" applyProtection="1">
      <alignment horizontal="right" vertical="center"/>
      <protection/>
    </xf>
    <xf numFmtId="4" fontId="4" fillId="45" borderId="90" xfId="0" applyNumberFormat="1" applyFont="1" applyFill="1" applyBorder="1" applyAlignment="1" applyProtection="1">
      <alignment horizontal="right" vertical="center" wrapText="1"/>
      <protection/>
    </xf>
    <xf numFmtId="4" fontId="5" fillId="61" borderId="90" xfId="0" applyNumberFormat="1" applyFont="1" applyFill="1" applyBorder="1" applyAlignment="1" applyProtection="1">
      <alignment horizontal="right" vertical="center" wrapText="1"/>
      <protection/>
    </xf>
    <xf numFmtId="4" fontId="5" fillId="28" borderId="90" xfId="0" applyNumberFormat="1" applyFont="1" applyFill="1" applyBorder="1" applyAlignment="1" applyProtection="1">
      <alignment horizontal="right" vertical="center" wrapText="1"/>
      <protection/>
    </xf>
    <xf numFmtId="4" fontId="5" fillId="56" borderId="90" xfId="0" applyNumberFormat="1" applyFont="1" applyFill="1" applyBorder="1" applyAlignment="1" applyProtection="1">
      <alignment horizontal="right" vertical="center" wrapText="1"/>
      <protection/>
    </xf>
    <xf numFmtId="4" fontId="12" fillId="56" borderId="90" xfId="122" applyNumberFormat="1" applyFont="1" applyFill="1" applyBorder="1" applyAlignment="1" applyProtection="1">
      <alignment horizontal="right" vertical="center"/>
      <protection/>
    </xf>
    <xf numFmtId="170" fontId="4" fillId="16" borderId="90" xfId="77" applyFont="1" applyFill="1" applyBorder="1" applyAlignment="1" applyProtection="1">
      <alignment horizontal="right" vertical="center"/>
      <protection/>
    </xf>
    <xf numFmtId="0" fontId="91" fillId="62" borderId="35" xfId="0" applyFont="1" applyFill="1" applyBorder="1" applyAlignment="1" applyProtection="1">
      <alignment horizontal="left" vertical="center"/>
      <protection locked="0"/>
    </xf>
    <xf numFmtId="0" fontId="91" fillId="62" borderId="0" xfId="0" applyFont="1" applyFill="1" applyAlignment="1" applyProtection="1">
      <alignment horizontal="left" vertical="center"/>
      <protection locked="0"/>
    </xf>
  </cellXfs>
  <cellStyles count="112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Excel Built-in Normal" xfId="73"/>
    <cellStyle name="Hyperlink" xfId="74"/>
    <cellStyle name="Hiperlink 2" xfId="75"/>
    <cellStyle name="Followed Hyperlink" xfId="76"/>
    <cellStyle name="Currency" xfId="77"/>
    <cellStyle name="Currency [0]" xfId="78"/>
    <cellStyle name="Moeda 2" xfId="79"/>
    <cellStyle name="Moeda 3" xfId="80"/>
    <cellStyle name="Neutro" xfId="81"/>
    <cellStyle name="Neutro 2" xfId="82"/>
    <cellStyle name="Normal 2" xfId="83"/>
    <cellStyle name="Normal 2 2" xfId="84"/>
    <cellStyle name="Normal 2 3" xfId="85"/>
    <cellStyle name="Normal 3" xfId="86"/>
    <cellStyle name="Normal 4" xfId="87"/>
    <cellStyle name="Normal 4 2" xfId="88"/>
    <cellStyle name="Normal 5" xfId="89"/>
    <cellStyle name="Normal_Ed. Juruá" xfId="90"/>
    <cellStyle name="Normal_Modelo de Detalhamento do  BDI V10" xfId="91"/>
    <cellStyle name="Nota" xfId="92"/>
    <cellStyle name="Nota 2" xfId="93"/>
    <cellStyle name="Percent" xfId="94"/>
    <cellStyle name="Porcentagem 2" xfId="95"/>
    <cellStyle name="Porcentagem 2 2" xfId="96"/>
    <cellStyle name="Porcentagem 3" xfId="97"/>
    <cellStyle name="Porcentagem 5" xfId="98"/>
    <cellStyle name="Ruim" xfId="99"/>
    <cellStyle name="Ruim 2" xfId="100"/>
    <cellStyle name="Saída" xfId="101"/>
    <cellStyle name="Saída 2" xfId="102"/>
    <cellStyle name="Comma [0]" xfId="103"/>
    <cellStyle name="Separador de milhares 2" xfId="104"/>
    <cellStyle name="TableStyleLight1" xfId="105"/>
    <cellStyle name="Texto de Aviso" xfId="106"/>
    <cellStyle name="Texto de Aviso 2" xfId="107"/>
    <cellStyle name="Texto Explicativo" xfId="108"/>
    <cellStyle name="Texto Explicativo 2" xfId="109"/>
    <cellStyle name="Título" xfId="110"/>
    <cellStyle name="Título 1" xfId="111"/>
    <cellStyle name="Título 1 2" xfId="112"/>
    <cellStyle name="Título 2" xfId="113"/>
    <cellStyle name="Título 2 2" xfId="114"/>
    <cellStyle name="Título 3" xfId="115"/>
    <cellStyle name="Título 3 2" xfId="116"/>
    <cellStyle name="Título 4" xfId="117"/>
    <cellStyle name="Título 4 2" xfId="118"/>
    <cellStyle name="Título 5" xfId="119"/>
    <cellStyle name="Total" xfId="120"/>
    <cellStyle name="Total 2" xfId="121"/>
    <cellStyle name="Comma" xfId="122"/>
    <cellStyle name="Vírgula 2" xfId="123"/>
    <cellStyle name="Vírgula 2 2" xfId="124"/>
    <cellStyle name="Vírgula 2 3" xfId="125"/>
  </cellStyles>
  <dxfs count="2">
    <dxf>
      <font>
        <color indexed="12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Desenvolvimento Físico/Mensal</a:t>
            </a:r>
          </a:p>
        </c:rich>
      </c:tx>
      <c:layout>
        <c:manualLayout>
          <c:xMode val="factor"/>
          <c:yMode val="factor"/>
          <c:x val="0.3255"/>
          <c:y val="0.053"/>
        </c:manualLayout>
      </c:layout>
      <c:spPr>
        <a:solidFill>
          <a:srgbClr val="CCFFCC"/>
        </a:solidFill>
        <a:ln w="3175">
          <a:solidFill>
            <a:srgbClr val="CCFF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"/>
          <c:y val="0.13125"/>
          <c:w val="0.93875"/>
          <c:h val="0.7295"/>
        </c:manualLayout>
      </c:layout>
      <c:lineChart>
        <c:grouping val="standard"/>
        <c:varyColors val="0"/>
        <c:ser>
          <c:idx val="0"/>
          <c:order val="0"/>
          <c:tx>
            <c:v>Gráfico de Desenvolvimento Físico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(CRONOGRAMA!$C$44,CRONOGRAMA!$E$44,CRONOGRAMA!$G$44,CRONOGRAMA!$I$44,CRONOGRAMA!$K$44,CRONOGRAMA!$M$44,CRONOGRAMA!$O$44,CRONOGRAMA!$Q$44,CRONOGRAMA!$S$44,CRONOGRAMA!$U$44,CRONOGRAMA!$W$44,CRONOGRAMA!$Y$44)</c:f>
              <c:numCache/>
            </c:numRef>
          </c:val>
          <c:smooth val="1"/>
        </c:ser>
        <c:marker val="1"/>
        <c:axId val="28907728"/>
        <c:axId val="58842961"/>
      </c:line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42961"/>
        <c:crosses val="autoZero"/>
        <c:auto val="1"/>
        <c:lblOffset val="100"/>
        <c:tickLblSkip val="1"/>
        <c:noMultiLvlLbl val="0"/>
      </c:catAx>
      <c:valAx>
        <c:axId val="58842961"/>
        <c:scaling>
          <c:orientation val="minMax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7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1.xml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38100</xdr:rowOff>
    </xdr:from>
    <xdr:to>
      <xdr:col>2</xdr:col>
      <xdr:colOff>361950</xdr:colOff>
      <xdr:row>2</xdr:row>
      <xdr:rowOff>180975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810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1057275</xdr:colOff>
      <xdr:row>0</xdr:row>
      <xdr:rowOff>76200</xdr:rowOff>
    </xdr:from>
    <xdr:to>
      <xdr:col>2</xdr:col>
      <xdr:colOff>161925</xdr:colOff>
      <xdr:row>5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620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38100</xdr:rowOff>
    </xdr:from>
    <xdr:to>
      <xdr:col>2</xdr:col>
      <xdr:colOff>85725</xdr:colOff>
      <xdr:row>2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810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19050</xdr:rowOff>
    </xdr:from>
    <xdr:to>
      <xdr:col>2</xdr:col>
      <xdr:colOff>190500</xdr:colOff>
      <xdr:row>1</xdr:row>
      <xdr:rowOff>247650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905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85725</xdr:rowOff>
    </xdr:from>
    <xdr:to>
      <xdr:col>1</xdr:col>
      <xdr:colOff>295275</xdr:colOff>
      <xdr:row>1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95250</xdr:rowOff>
    </xdr:from>
    <xdr:to>
      <xdr:col>1</xdr:col>
      <xdr:colOff>752475</xdr:colOff>
      <xdr:row>2</xdr:row>
      <xdr:rowOff>371475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5250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0.03525</cdr:x>
      <cdr:y>0.786</cdr:y>
    </cdr:from>
    <cdr:to>
      <cdr:x>0.09725</cdr:x>
      <cdr:y>0.92175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1333500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Mês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46</xdr:row>
      <xdr:rowOff>76200</xdr:rowOff>
    </xdr:from>
    <xdr:to>
      <xdr:col>26</xdr:col>
      <xdr:colOff>447675</xdr:colOff>
      <xdr:row>57</xdr:row>
      <xdr:rowOff>0</xdr:rowOff>
    </xdr:to>
    <xdr:grpSp>
      <xdr:nvGrpSpPr>
        <xdr:cNvPr id="1" name="Group 47"/>
        <xdr:cNvGrpSpPr>
          <a:grpSpLocks/>
        </xdr:cNvGrpSpPr>
      </xdr:nvGrpSpPr>
      <xdr:grpSpPr>
        <a:xfrm>
          <a:off x="1895475" y="8362950"/>
          <a:ext cx="10753725" cy="1704975"/>
          <a:chOff x="268" y="1678"/>
          <a:chExt cx="1374" cy="237"/>
        </a:xfrm>
        <a:solidFill>
          <a:srgbClr val="FFFFFF"/>
        </a:solidFill>
      </xdr:grpSpPr>
      <xdr:pic>
        <xdr:nvPicPr>
          <xdr:cNvPr id="2" name="Ink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3" y="1729"/>
            <a:ext cx="1" cy="1"/>
          </a:xfrm>
          <a:prstGeom prst="rect">
            <a:avLst/>
          </a:prstGeom>
          <a:noFill/>
          <a:ln w="9525" cmpd="sng">
            <a:noFill/>
          </a:ln>
        </xdr:spPr>
      </xdr:pic>
      <xdr:graphicFrame>
        <xdr:nvGraphicFramePr>
          <xdr:cNvPr id="3" name="Gráfico 42"/>
          <xdr:cNvGraphicFramePr/>
        </xdr:nvGraphicFramePr>
        <xdr:xfrm>
          <a:off x="278" y="1678"/>
          <a:ext cx="1364" cy="23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 Box 43"/>
          <xdr:cNvSpPr txBox="1">
            <a:spLocks noChangeArrowheads="1"/>
          </xdr:cNvSpPr>
        </xdr:nvSpPr>
        <xdr:spPr>
          <a:xfrm>
            <a:off x="268" y="1704"/>
            <a:ext cx="34" cy="1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Desempenho Estimado</a:t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19050</xdr:rowOff>
    </xdr:from>
    <xdr:to>
      <xdr:col>1</xdr:col>
      <xdr:colOff>447675</xdr:colOff>
      <xdr:row>2</xdr:row>
      <xdr:rowOff>152400</xdr:rowOff>
    </xdr:to>
    <xdr:pic>
      <xdr:nvPicPr>
        <xdr:cNvPr id="5" name="Picture 34" descr="brasão jm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9050"/>
          <a:ext cx="800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0</xdr:row>
      <xdr:rowOff>133350</xdr:rowOff>
    </xdr:from>
    <xdr:to>
      <xdr:col>7</xdr:col>
      <xdr:colOff>371475</xdr:colOff>
      <xdr:row>0</xdr:row>
      <xdr:rowOff>400050</xdr:rowOff>
    </xdr:to>
    <xdr:sp>
      <xdr:nvSpPr>
        <xdr:cNvPr id="6" name="WordArt 35"/>
        <xdr:cNvSpPr>
          <a:spLocks noChangeAspect="1"/>
        </xdr:cNvSpPr>
      </xdr:nvSpPr>
      <xdr:spPr>
        <a:xfrm>
          <a:off x="866775" y="133350"/>
          <a:ext cx="40290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339966"/>
              </a:solidFill>
              <a:latin typeface="Times New Roman"/>
              <a:cs typeface="Times New Roman"/>
            </a:rPr>
            <a:t>Prefeitura Municipal de Jerônimo Monteiro</a:t>
          </a:r>
        </a:p>
      </xdr:txBody>
    </xdr:sp>
    <xdr:clientData/>
  </xdr:twoCellAnchor>
  <xdr:twoCellAnchor>
    <xdr:from>
      <xdr:col>1</xdr:col>
      <xdr:colOff>581025</xdr:colOff>
      <xdr:row>1</xdr:row>
      <xdr:rowOff>114300</xdr:rowOff>
    </xdr:from>
    <xdr:to>
      <xdr:col>7</xdr:col>
      <xdr:colOff>247650</xdr:colOff>
      <xdr:row>2</xdr:row>
      <xdr:rowOff>133350</xdr:rowOff>
    </xdr:to>
    <xdr:sp>
      <xdr:nvSpPr>
        <xdr:cNvPr id="7" name="Text Box 36"/>
        <xdr:cNvSpPr txBox="1">
          <a:spLocks noChangeAspect="1" noChangeArrowheads="1"/>
        </xdr:cNvSpPr>
      </xdr:nvSpPr>
      <xdr:spPr>
        <a:xfrm>
          <a:off x="981075" y="561975"/>
          <a:ext cx="37909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10800" rIns="90000" bIns="46800"/>
        <a:p>
          <a:pPr algn="ctr">
            <a:defRPr/>
          </a:pPr>
          <a:r>
            <a:rPr lang="en-US" cap="none" sz="1800" b="0" i="0" u="none" baseline="0">
              <a:solidFill>
                <a:srgbClr val="003300"/>
              </a:solidFill>
              <a:latin typeface="Verdana"/>
              <a:ea typeface="Verdana"/>
              <a:cs typeface="Verdana"/>
            </a:rPr>
            <a:t>Secretaria de Planejamento</a:t>
          </a:r>
          <a:r>
            <a:rPr lang="en-US" cap="none" sz="1400" b="0" i="0" u="none" baseline="0">
              <a:solidFill>
                <a:srgbClr val="0033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819150</xdr:colOff>
      <xdr:row>0</xdr:row>
      <xdr:rowOff>428625</xdr:rowOff>
    </xdr:from>
    <xdr:to>
      <xdr:col>7</xdr:col>
      <xdr:colOff>19050</xdr:colOff>
      <xdr:row>1</xdr:row>
      <xdr:rowOff>219075</xdr:rowOff>
    </xdr:to>
    <xdr:sp>
      <xdr:nvSpPr>
        <xdr:cNvPr id="8" name="Text Box 37"/>
        <xdr:cNvSpPr txBox="1">
          <a:spLocks noChangeAspect="1" noChangeArrowheads="1"/>
        </xdr:cNvSpPr>
      </xdr:nvSpPr>
      <xdr:spPr>
        <a:xfrm>
          <a:off x="1219200" y="428625"/>
          <a:ext cx="3324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10800" rIns="90000" bIns="46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ESTADO DO ESPÍRITO SANTO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333375</xdr:colOff>
      <xdr:row>1</xdr:row>
      <xdr:rowOff>0</xdr:rowOff>
    </xdr:to>
    <xdr:pic>
      <xdr:nvPicPr>
        <xdr:cNvPr id="1" name="Picture 1" descr="brasão jm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9525"/>
          <a:ext cx="666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3</xdr:col>
      <xdr:colOff>257175</xdr:colOff>
      <xdr:row>0</xdr:row>
      <xdr:rowOff>857250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771525" y="142875"/>
          <a:ext cx="3905250" cy="714375"/>
          <a:chOff x="101" y="19"/>
          <a:chExt cx="530" cy="89"/>
        </a:xfrm>
        <a:solidFill>
          <a:srgbClr val="FFFFFF"/>
        </a:solidFill>
      </xdr:grpSpPr>
      <xdr:sp>
        <xdr:nvSpPr>
          <xdr:cNvPr id="4" name="Text Box 4"/>
          <xdr:cNvSpPr txBox="1">
            <a:spLocks noChangeAspect="1" noChangeArrowheads="1"/>
          </xdr:cNvSpPr>
        </xdr:nvSpPr>
        <xdr:spPr>
          <a:xfrm>
            <a:off x="150" y="71"/>
            <a:ext cx="432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0000" tIns="10800" rIns="90000" bIns="46800"/>
          <a:p>
            <a:pPr algn="ctr">
              <a:defRPr/>
            </a:pPr>
            <a:r>
              <a:rPr lang="en-US" cap="none" sz="1400" b="0" i="0" u="none" baseline="0">
                <a:solidFill>
                  <a:srgbClr val="003300"/>
                </a:solidFill>
              </a:rPr>
              <a:t>Secretaria de Planejamento
</a:t>
            </a:r>
          </a:p>
        </xdr:txBody>
      </xdr:sp>
      <xdr:sp>
        <xdr:nvSpPr>
          <xdr:cNvPr id="5" name="Text Box 5"/>
          <xdr:cNvSpPr txBox="1">
            <a:spLocks noChangeAspect="1" noChangeArrowheads="1"/>
          </xdr:cNvSpPr>
        </xdr:nvSpPr>
        <xdr:spPr>
          <a:xfrm>
            <a:off x="133" y="53"/>
            <a:ext cx="46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10800" rIns="90000" bIns="4680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ESTADO DO ESPÍRITO SANTO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OS%20DA%20QUADRA%20POLIESPORTIVA%20DE%20SANTO%20ANTONIO\Modelo%20de%20Detalhamento%20do%20%20BDI%20V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ni_\Desktop\PLANILHA%20CAL&#199;AMENTO%20-%20DEPARTAMEN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do BDI"/>
      <sheetName val="Auxiliar"/>
    </sheetNames>
    <sheetDataSet>
      <sheetData sheetId="1">
        <row r="17">
          <cell r="A17" t="str">
            <v>Atende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OMPOSIÇÃO"/>
      <sheetName val="MEMÓRIA CÁLCULO"/>
      <sheetName val="CRONOGRAMA"/>
      <sheetName val="BDI 29,63%"/>
      <sheetName val="CPA- ADM LOCAL"/>
      <sheetName val="MEMORIAL DESCR."/>
    </sheetNames>
    <sheetDataSet>
      <sheetData sheetId="0">
        <row r="5">
          <cell r="B5" t="str">
            <v>DEPARTAMENTO - VARGEM ALTA - ES.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nicaserv.com.br/mini-rack-12u-x-470mm" TargetMode="External" /><Relationship Id="rId2" Type="http://schemas.openxmlformats.org/officeDocument/2006/relationships/hyperlink" Target="https://www.upperseg.com.br/cftv/rack-organizador/rack-horizontal/rack-19-para-parede-12u-x-470mm-com-porta-frontal-acrilica/" TargetMode="External" /><Relationship Id="rId3" Type="http://schemas.openxmlformats.org/officeDocument/2006/relationships/hyperlink" Target="https://www.centralcabos.com.br/mini-rack-de-parede-12u/p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BS194"/>
  <sheetViews>
    <sheetView tabSelected="1" view="pageBreakPreview" zoomScale="115" zoomScaleNormal="115" zoomScaleSheetLayoutView="115" workbookViewId="0" topLeftCell="A171">
      <selection activeCell="G14" sqref="G14"/>
    </sheetView>
  </sheetViews>
  <sheetFormatPr defaultColWidth="9.140625" defaultRowHeight="12.75"/>
  <cols>
    <col min="1" max="1" width="7.28125" style="1219" customWidth="1"/>
    <col min="2" max="2" width="8.140625" style="1220" customWidth="1"/>
    <col min="3" max="3" width="11.140625" style="1221" customWidth="1"/>
    <col min="4" max="4" width="99.57421875" style="1222" customWidth="1"/>
    <col min="5" max="5" width="6.00390625" style="1223" customWidth="1"/>
    <col min="6" max="6" width="10.140625" style="1224" bestFit="1" customWidth="1"/>
    <col min="7" max="7" width="9.00390625" style="1224" customWidth="1"/>
    <col min="8" max="8" width="15.421875" style="1224" bestFit="1" customWidth="1"/>
    <col min="9" max="9" width="0" style="1163" hidden="1" customWidth="1"/>
    <col min="10" max="10" width="9.00390625" style="1224" hidden="1" customWidth="1"/>
    <col min="11" max="16384" width="9.140625" style="1163" customWidth="1"/>
  </cols>
  <sheetData>
    <row r="1" spans="1:10" ht="8.25" customHeight="1">
      <c r="A1" s="1156"/>
      <c r="B1" s="1157"/>
      <c r="C1" s="1158"/>
      <c r="D1" s="1159"/>
      <c r="E1" s="1160"/>
      <c r="F1" s="1161"/>
      <c r="G1" s="1161"/>
      <c r="H1" s="1162"/>
      <c r="J1" s="1163"/>
    </row>
    <row r="2" spans="1:10" ht="23.25" customHeight="1">
      <c r="A2" s="1164"/>
      <c r="B2" s="1165"/>
      <c r="C2" s="1166"/>
      <c r="D2" s="1167" t="s">
        <v>845</v>
      </c>
      <c r="E2" s="1168"/>
      <c r="F2" s="1169"/>
      <c r="G2" s="1169"/>
      <c r="H2" s="1170"/>
      <c r="J2" s="1163"/>
    </row>
    <row r="3" spans="1:10" ht="15.75" customHeight="1">
      <c r="A3" s="1164"/>
      <c r="B3" s="1165"/>
      <c r="C3" s="1166"/>
      <c r="D3" s="1171" t="s">
        <v>773</v>
      </c>
      <c r="E3" s="1168"/>
      <c r="F3" s="1169"/>
      <c r="G3" s="1169"/>
      <c r="H3" s="1170"/>
      <c r="J3" s="1163"/>
    </row>
    <row r="4" spans="1:10" ht="12.75" hidden="1">
      <c r="A4" s="1172"/>
      <c r="B4" s="1173"/>
      <c r="C4" s="1174"/>
      <c r="D4" s="1175"/>
      <c r="E4" s="1176"/>
      <c r="F4" s="1177"/>
      <c r="G4" s="1177"/>
      <c r="H4" s="1178"/>
      <c r="J4" s="1163"/>
    </row>
    <row r="5" spans="1:10" ht="15" customHeight="1">
      <c r="A5" s="1225" t="s">
        <v>583</v>
      </c>
      <c r="B5" s="1226" t="s">
        <v>582</v>
      </c>
      <c r="C5" s="1227"/>
      <c r="D5" s="1227"/>
      <c r="E5" s="1228" t="s">
        <v>1087</v>
      </c>
      <c r="F5" s="1229"/>
      <c r="G5" s="1229"/>
      <c r="H5" s="1230"/>
      <c r="J5" s="1163"/>
    </row>
    <row r="6" spans="1:10" ht="12.75">
      <c r="A6" s="1225" t="s">
        <v>584</v>
      </c>
      <c r="B6" s="1226" t="s">
        <v>1021</v>
      </c>
      <c r="C6" s="1227"/>
      <c r="D6" s="1227"/>
      <c r="E6" s="1231"/>
      <c r="F6" s="1232"/>
      <c r="G6" s="1232"/>
      <c r="H6" s="1233"/>
      <c r="J6" s="1163"/>
    </row>
    <row r="7" spans="1:10" ht="24.75" customHeight="1">
      <c r="A7" s="1234"/>
      <c r="B7" s="1235"/>
      <c r="C7" s="1235"/>
      <c r="D7" s="1235"/>
      <c r="E7" s="1236" t="s">
        <v>1088</v>
      </c>
      <c r="F7" s="1237"/>
      <c r="G7" s="1237"/>
      <c r="H7" s="1238"/>
      <c r="J7" s="1163"/>
    </row>
    <row r="8" spans="1:10" ht="20.25">
      <c r="A8" s="1239" t="s">
        <v>83</v>
      </c>
      <c r="B8" s="1240"/>
      <c r="C8" s="1240"/>
      <c r="D8" s="1240"/>
      <c r="E8" s="1240"/>
      <c r="F8" s="1240"/>
      <c r="G8" s="1240"/>
      <c r="H8" s="1241"/>
      <c r="J8" s="1163"/>
    </row>
    <row r="9" spans="1:10" ht="10.5" customHeight="1">
      <c r="A9" s="1242" t="s">
        <v>72</v>
      </c>
      <c r="B9" s="1243" t="s">
        <v>486</v>
      </c>
      <c r="C9" s="1244" t="s">
        <v>487</v>
      </c>
      <c r="D9" s="1244" t="s">
        <v>73</v>
      </c>
      <c r="E9" s="1244" t="s">
        <v>97</v>
      </c>
      <c r="F9" s="1245" t="s">
        <v>77</v>
      </c>
      <c r="G9" s="1246" t="s">
        <v>92</v>
      </c>
      <c r="H9" s="1247" t="s">
        <v>93</v>
      </c>
      <c r="J9" s="1152" t="s">
        <v>92</v>
      </c>
    </row>
    <row r="10" spans="1:10" ht="8.25" customHeight="1">
      <c r="A10" s="1242"/>
      <c r="B10" s="1248"/>
      <c r="C10" s="1244"/>
      <c r="D10" s="1244"/>
      <c r="E10" s="1244"/>
      <c r="F10" s="1245"/>
      <c r="G10" s="1249"/>
      <c r="H10" s="1250"/>
      <c r="J10" s="1153"/>
    </row>
    <row r="11" spans="1:10" ht="7.5" customHeight="1">
      <c r="A11" s="1242"/>
      <c r="B11" s="1248"/>
      <c r="C11" s="1244"/>
      <c r="D11" s="1244"/>
      <c r="E11" s="1244"/>
      <c r="F11" s="1245"/>
      <c r="G11" s="1249"/>
      <c r="H11" s="1250"/>
      <c r="J11" s="1153"/>
    </row>
    <row r="12" spans="1:10" ht="6" customHeight="1">
      <c r="A12" s="1251"/>
      <c r="B12" s="1252"/>
      <c r="C12" s="1253"/>
      <c r="D12" s="1253"/>
      <c r="E12" s="1253"/>
      <c r="F12" s="1254"/>
      <c r="G12" s="1255"/>
      <c r="H12" s="1256"/>
      <c r="J12" s="1154"/>
    </row>
    <row r="13" spans="1:10" ht="12.75">
      <c r="A13" s="1257" t="s">
        <v>585</v>
      </c>
      <c r="B13" s="1258"/>
      <c r="C13" s="1259"/>
      <c r="D13" s="1260" t="s">
        <v>74</v>
      </c>
      <c r="E13" s="1261"/>
      <c r="F13" s="1262"/>
      <c r="G13" s="1263"/>
      <c r="H13" s="1264"/>
      <c r="J13" s="1155"/>
    </row>
    <row r="14" spans="1:10" ht="12.75">
      <c r="A14" s="1265" t="s">
        <v>75</v>
      </c>
      <c r="B14" s="1266" t="s">
        <v>488</v>
      </c>
      <c r="C14" s="1266">
        <v>20305</v>
      </c>
      <c r="D14" s="1267" t="s">
        <v>846</v>
      </c>
      <c r="E14" s="1266" t="s">
        <v>128</v>
      </c>
      <c r="F14" s="1268">
        <v>2.5</v>
      </c>
      <c r="G14" s="1181">
        <f aca="true" t="shared" si="0" ref="G14:G19">ROUND(J14*1.3196,2)</f>
        <v>355.38</v>
      </c>
      <c r="H14" s="1317">
        <f aca="true" t="shared" si="1" ref="H14:H19">ROUND(G14*F14,2)</f>
        <v>888.45</v>
      </c>
      <c r="J14" s="1182">
        <v>269.31</v>
      </c>
    </row>
    <row r="15" spans="1:10" ht="22.5">
      <c r="A15" s="1265" t="s">
        <v>586</v>
      </c>
      <c r="B15" s="1266" t="s">
        <v>488</v>
      </c>
      <c r="C15" s="1266">
        <v>20702</v>
      </c>
      <c r="D15" s="1269" t="s">
        <v>847</v>
      </c>
      <c r="E15" s="1266" t="s">
        <v>128</v>
      </c>
      <c r="F15" s="1268">
        <v>6</v>
      </c>
      <c r="G15" s="1181">
        <f t="shared" si="0"/>
        <v>862.85</v>
      </c>
      <c r="H15" s="1317">
        <f t="shared" si="1"/>
        <v>5177.1</v>
      </c>
      <c r="J15" s="1182">
        <v>653.87</v>
      </c>
    </row>
    <row r="16" spans="1:10" ht="12.75">
      <c r="A16" s="1265" t="s">
        <v>587</v>
      </c>
      <c r="B16" s="1266" t="s">
        <v>488</v>
      </c>
      <c r="C16" s="1266">
        <v>10501</v>
      </c>
      <c r="D16" s="1267" t="s">
        <v>848</v>
      </c>
      <c r="E16" s="1266" t="s">
        <v>127</v>
      </c>
      <c r="F16" s="1268">
        <v>85.4</v>
      </c>
      <c r="G16" s="1181">
        <f t="shared" si="0"/>
        <v>13.53</v>
      </c>
      <c r="H16" s="1317">
        <f t="shared" si="1"/>
        <v>1155.46</v>
      </c>
      <c r="J16" s="1182">
        <v>10.25</v>
      </c>
    </row>
    <row r="17" spans="1:10" s="1183" customFormat="1" ht="33.75" customHeight="1">
      <c r="A17" s="1266" t="s">
        <v>680</v>
      </c>
      <c r="B17" s="1266" t="s">
        <v>488</v>
      </c>
      <c r="C17" s="1266">
        <v>20350</v>
      </c>
      <c r="D17" s="1269" t="s">
        <v>1125</v>
      </c>
      <c r="E17" s="1266" t="s">
        <v>127</v>
      </c>
      <c r="F17" s="1268">
        <v>101.4</v>
      </c>
      <c r="G17" s="1181">
        <f t="shared" si="0"/>
        <v>274.2</v>
      </c>
      <c r="H17" s="1317">
        <f t="shared" si="1"/>
        <v>27803.88</v>
      </c>
      <c r="J17" s="1182">
        <v>207.79</v>
      </c>
    </row>
    <row r="18" spans="1:10" ht="12.75">
      <c r="A18" s="1266" t="s">
        <v>733</v>
      </c>
      <c r="B18" s="1266" t="s">
        <v>488</v>
      </c>
      <c r="C18" s="1266">
        <v>151701</v>
      </c>
      <c r="D18" s="1269" t="s">
        <v>850</v>
      </c>
      <c r="E18" s="1266" t="s">
        <v>138</v>
      </c>
      <c r="F18" s="1268">
        <v>1</v>
      </c>
      <c r="G18" s="1181">
        <f t="shared" si="0"/>
        <v>2871.01</v>
      </c>
      <c r="H18" s="1317">
        <f t="shared" si="1"/>
        <v>2871.01</v>
      </c>
      <c r="J18" s="1181">
        <v>2175.67</v>
      </c>
    </row>
    <row r="19" spans="1:10" ht="22.5">
      <c r="A19" s="1266" t="s">
        <v>768</v>
      </c>
      <c r="B19" s="1266" t="s">
        <v>488</v>
      </c>
      <c r="C19" s="1266">
        <v>20712</v>
      </c>
      <c r="D19" s="1269" t="s">
        <v>849</v>
      </c>
      <c r="E19" s="1266" t="s">
        <v>276</v>
      </c>
      <c r="F19" s="1268">
        <v>25</v>
      </c>
      <c r="G19" s="1181">
        <f t="shared" si="0"/>
        <v>62.71</v>
      </c>
      <c r="H19" s="1317">
        <f t="shared" si="1"/>
        <v>1567.75</v>
      </c>
      <c r="J19" s="1182">
        <v>47.52</v>
      </c>
    </row>
    <row r="20" spans="1:10" ht="12.75">
      <c r="A20" s="1270"/>
      <c r="B20" s="1271"/>
      <c r="C20" s="1272"/>
      <c r="D20" s="1273" t="s">
        <v>22</v>
      </c>
      <c r="E20" s="1271"/>
      <c r="F20" s="1274"/>
      <c r="G20" s="1184"/>
      <c r="H20" s="1318">
        <f>SUM(H14:H19)</f>
        <v>39463.65</v>
      </c>
      <c r="J20" s="1184"/>
    </row>
    <row r="21" spans="1:10" ht="12.75">
      <c r="A21" s="1275" t="s">
        <v>588</v>
      </c>
      <c r="B21" s="1275"/>
      <c r="C21" s="1276"/>
      <c r="D21" s="1277" t="s">
        <v>700</v>
      </c>
      <c r="E21" s="1278"/>
      <c r="F21" s="1279"/>
      <c r="G21" s="1185"/>
      <c r="H21" s="1319"/>
      <c r="J21" s="1185"/>
    </row>
    <row r="22" spans="1:10" ht="22.5">
      <c r="A22" s="1280" t="s">
        <v>509</v>
      </c>
      <c r="B22" s="1280" t="s">
        <v>491</v>
      </c>
      <c r="C22" s="1281" t="s">
        <v>1048</v>
      </c>
      <c r="D22" s="1282" t="s">
        <v>1049</v>
      </c>
      <c r="E22" s="1283" t="s">
        <v>127</v>
      </c>
      <c r="F22" s="1284">
        <v>300</v>
      </c>
      <c r="G22" s="1181">
        <f aca="true" t="shared" si="2" ref="G22:G27">ROUND(J22*1.3196,2)</f>
        <v>151.5</v>
      </c>
      <c r="H22" s="1320">
        <f>ROUND(G22*F22,2)</f>
        <v>45450</v>
      </c>
      <c r="J22" s="1186">
        <v>114.81</v>
      </c>
    </row>
    <row r="23" spans="1:10" ht="22.5">
      <c r="A23" s="1280" t="s">
        <v>512</v>
      </c>
      <c r="B23" s="1266" t="s">
        <v>488</v>
      </c>
      <c r="C23" s="1285" t="s">
        <v>606</v>
      </c>
      <c r="D23" s="1269" t="s">
        <v>607</v>
      </c>
      <c r="E23" s="1266" t="s">
        <v>128</v>
      </c>
      <c r="F23" s="1286">
        <v>343.63</v>
      </c>
      <c r="G23" s="1181">
        <f t="shared" si="2"/>
        <v>119.37</v>
      </c>
      <c r="H23" s="1317">
        <f>ROUND(F23*G23,2)</f>
        <v>41019.11</v>
      </c>
      <c r="J23" s="1182">
        <v>90.46</v>
      </c>
    </row>
    <row r="24" spans="1:10" ht="12.75">
      <c r="A24" s="1280" t="s">
        <v>96</v>
      </c>
      <c r="B24" s="1266" t="s">
        <v>488</v>
      </c>
      <c r="C24" s="1266">
        <v>40333</v>
      </c>
      <c r="D24" s="1267" t="s">
        <v>851</v>
      </c>
      <c r="E24" s="1266" t="s">
        <v>100</v>
      </c>
      <c r="F24" s="1286">
        <v>272.7</v>
      </c>
      <c r="G24" s="1181">
        <f t="shared" si="2"/>
        <v>20.78</v>
      </c>
      <c r="H24" s="1317">
        <f>ROUND(F24*G24,2)</f>
        <v>5666.71</v>
      </c>
      <c r="J24" s="1187">
        <v>15.75</v>
      </c>
    </row>
    <row r="25" spans="1:10" ht="12.75">
      <c r="A25" s="1280" t="s">
        <v>106</v>
      </c>
      <c r="B25" s="1266" t="s">
        <v>488</v>
      </c>
      <c r="C25" s="1266">
        <v>40243</v>
      </c>
      <c r="D25" s="1267" t="s">
        <v>490</v>
      </c>
      <c r="E25" s="1266" t="s">
        <v>100</v>
      </c>
      <c r="F25" s="1286">
        <v>869.6</v>
      </c>
      <c r="G25" s="1181">
        <f t="shared" si="2"/>
        <v>17.08</v>
      </c>
      <c r="H25" s="1317">
        <f>ROUND(F25*G25,2)</f>
        <v>14852.77</v>
      </c>
      <c r="J25" s="1187">
        <v>12.94</v>
      </c>
    </row>
    <row r="26" spans="1:10" ht="12.75">
      <c r="A26" s="1280" t="s">
        <v>157</v>
      </c>
      <c r="B26" s="1266" t="s">
        <v>488</v>
      </c>
      <c r="C26" s="1266">
        <v>40245</v>
      </c>
      <c r="D26" s="1267" t="s">
        <v>854</v>
      </c>
      <c r="E26" s="1266" t="s">
        <v>100</v>
      </c>
      <c r="F26" s="1286">
        <v>70.4</v>
      </c>
      <c r="G26" s="1181">
        <f t="shared" si="2"/>
        <v>17.21</v>
      </c>
      <c r="H26" s="1317">
        <f>ROUND(F26*G26,2)</f>
        <v>1211.58</v>
      </c>
      <c r="J26" s="1187">
        <v>13.04</v>
      </c>
    </row>
    <row r="27" spans="1:10" ht="22.5">
      <c r="A27" s="1280" t="s">
        <v>159</v>
      </c>
      <c r="B27" s="1266" t="s">
        <v>488</v>
      </c>
      <c r="C27" s="1266">
        <v>40240</v>
      </c>
      <c r="D27" s="1287" t="s">
        <v>853</v>
      </c>
      <c r="E27" s="1266" t="s">
        <v>142</v>
      </c>
      <c r="F27" s="1286">
        <v>23.28</v>
      </c>
      <c r="G27" s="1181">
        <f t="shared" si="2"/>
        <v>684.53</v>
      </c>
      <c r="H27" s="1317">
        <f>ROUND(F27*G27,2)</f>
        <v>15935.86</v>
      </c>
      <c r="J27" s="1182">
        <v>518.74</v>
      </c>
    </row>
    <row r="28" spans="1:10" ht="12.75">
      <c r="A28" s="1270"/>
      <c r="B28" s="1271"/>
      <c r="C28" s="1272"/>
      <c r="D28" s="1273" t="s">
        <v>22</v>
      </c>
      <c r="E28" s="1271"/>
      <c r="F28" s="1274"/>
      <c r="G28" s="1184"/>
      <c r="H28" s="1318">
        <f>SUM(H22:H27)</f>
        <v>124136.03000000001</v>
      </c>
      <c r="J28" s="1184"/>
    </row>
    <row r="29" spans="1:10" ht="12.75">
      <c r="A29" s="1275" t="s">
        <v>589</v>
      </c>
      <c r="B29" s="1275"/>
      <c r="C29" s="1288"/>
      <c r="D29" s="1277" t="s">
        <v>701</v>
      </c>
      <c r="E29" s="1278"/>
      <c r="F29" s="1279"/>
      <c r="G29" s="1185"/>
      <c r="H29" s="1319"/>
      <c r="J29" s="1185"/>
    </row>
    <row r="30" spans="1:10" ht="22.5">
      <c r="A30" s="1266" t="s">
        <v>76</v>
      </c>
      <c r="B30" s="1266" t="s">
        <v>488</v>
      </c>
      <c r="C30" s="1285" t="s">
        <v>606</v>
      </c>
      <c r="D30" s="1269" t="s">
        <v>852</v>
      </c>
      <c r="E30" s="1266" t="s">
        <v>128</v>
      </c>
      <c r="F30" s="1289">
        <v>437.64</v>
      </c>
      <c r="G30" s="1181">
        <f aca="true" t="shared" si="3" ref="G30:G38">ROUND(J30*1.3196,2)</f>
        <v>119.37</v>
      </c>
      <c r="H30" s="1321">
        <f>ROUND(G30*F30,2)</f>
        <v>52241.09</v>
      </c>
      <c r="J30" s="1187">
        <v>90.46</v>
      </c>
    </row>
    <row r="31" spans="1:10" ht="12.75">
      <c r="A31" s="1266" t="s">
        <v>91</v>
      </c>
      <c r="B31" s="1266" t="s">
        <v>488</v>
      </c>
      <c r="C31" s="1266">
        <v>40333</v>
      </c>
      <c r="D31" s="1267" t="s">
        <v>851</v>
      </c>
      <c r="E31" s="1266" t="s">
        <v>100</v>
      </c>
      <c r="F31" s="1289">
        <v>268.02</v>
      </c>
      <c r="G31" s="1181">
        <f t="shared" si="3"/>
        <v>20.78</v>
      </c>
      <c r="H31" s="1321">
        <f aca="true" t="shared" si="4" ref="H31:H38">ROUND(G31*F31,2)</f>
        <v>5569.46</v>
      </c>
      <c r="J31" s="1187">
        <v>15.75</v>
      </c>
    </row>
    <row r="32" spans="1:10" ht="12.75">
      <c r="A32" s="1266" t="s">
        <v>103</v>
      </c>
      <c r="B32" s="1266" t="s">
        <v>488</v>
      </c>
      <c r="C32" s="1266">
        <v>40243</v>
      </c>
      <c r="D32" s="1267" t="s">
        <v>490</v>
      </c>
      <c r="E32" s="1266" t="s">
        <v>100</v>
      </c>
      <c r="F32" s="1289">
        <v>722.16</v>
      </c>
      <c r="G32" s="1181">
        <f t="shared" si="3"/>
        <v>17.08</v>
      </c>
      <c r="H32" s="1321">
        <f t="shared" si="4"/>
        <v>12334.49</v>
      </c>
      <c r="J32" s="1187">
        <v>12.94</v>
      </c>
    </row>
    <row r="33" spans="1:10" ht="12.75">
      <c r="A33" s="1266" t="s">
        <v>104</v>
      </c>
      <c r="B33" s="1266" t="s">
        <v>488</v>
      </c>
      <c r="C33" s="1266">
        <v>40245</v>
      </c>
      <c r="D33" s="1267" t="s">
        <v>854</v>
      </c>
      <c r="E33" s="1266" t="s">
        <v>100</v>
      </c>
      <c r="F33" s="1289">
        <v>316.53</v>
      </c>
      <c r="G33" s="1181">
        <f t="shared" si="3"/>
        <v>17.21</v>
      </c>
      <c r="H33" s="1321">
        <f t="shared" si="4"/>
        <v>5447.48</v>
      </c>
      <c r="J33" s="1187">
        <v>13.04</v>
      </c>
    </row>
    <row r="34" spans="1:10" ht="22.5">
      <c r="A34" s="1266" t="s">
        <v>107</v>
      </c>
      <c r="B34" s="1283" t="s">
        <v>491</v>
      </c>
      <c r="C34" s="1285" t="s">
        <v>683</v>
      </c>
      <c r="D34" s="1269" t="s">
        <v>855</v>
      </c>
      <c r="E34" s="1266" t="s">
        <v>100</v>
      </c>
      <c r="F34" s="1289">
        <v>138.51</v>
      </c>
      <c r="G34" s="1181">
        <f t="shared" si="3"/>
        <v>24.28</v>
      </c>
      <c r="H34" s="1321">
        <f t="shared" si="4"/>
        <v>3363.02</v>
      </c>
      <c r="J34" s="1187">
        <v>18.4</v>
      </c>
    </row>
    <row r="35" spans="1:10" ht="22.5">
      <c r="A35" s="1266" t="s">
        <v>191</v>
      </c>
      <c r="B35" s="1283" t="s">
        <v>491</v>
      </c>
      <c r="C35" s="1285" t="s">
        <v>684</v>
      </c>
      <c r="D35" s="1269" t="s">
        <v>856</v>
      </c>
      <c r="E35" s="1266" t="s">
        <v>100</v>
      </c>
      <c r="F35" s="1289">
        <v>211.41</v>
      </c>
      <c r="G35" s="1181">
        <f t="shared" si="3"/>
        <v>23.7</v>
      </c>
      <c r="H35" s="1321">
        <f t="shared" si="4"/>
        <v>5010.42</v>
      </c>
      <c r="J35" s="1187">
        <v>17.96</v>
      </c>
    </row>
    <row r="36" spans="1:10" ht="22.5">
      <c r="A36" s="1266" t="s">
        <v>192</v>
      </c>
      <c r="B36" s="1283" t="s">
        <v>491</v>
      </c>
      <c r="C36" s="1285" t="s">
        <v>703</v>
      </c>
      <c r="D36" s="1269" t="s">
        <v>857</v>
      </c>
      <c r="E36" s="1266" t="s">
        <v>100</v>
      </c>
      <c r="F36" s="1289">
        <v>92.34</v>
      </c>
      <c r="G36" s="1181">
        <f t="shared" si="3"/>
        <v>22.78</v>
      </c>
      <c r="H36" s="1321">
        <f t="shared" si="4"/>
        <v>2103.51</v>
      </c>
      <c r="J36" s="1187">
        <v>17.26</v>
      </c>
    </row>
    <row r="37" spans="1:10" ht="22.5">
      <c r="A37" s="1266" t="s">
        <v>193</v>
      </c>
      <c r="B37" s="1283" t="s">
        <v>491</v>
      </c>
      <c r="C37" s="1285" t="s">
        <v>704</v>
      </c>
      <c r="D37" s="1269" t="s">
        <v>858</v>
      </c>
      <c r="E37" s="1266" t="s">
        <v>100</v>
      </c>
      <c r="F37" s="1289">
        <v>276.39</v>
      </c>
      <c r="G37" s="1181">
        <f t="shared" si="3"/>
        <v>20.63</v>
      </c>
      <c r="H37" s="1321">
        <f t="shared" si="4"/>
        <v>5701.93</v>
      </c>
      <c r="J37" s="1187">
        <v>15.63</v>
      </c>
    </row>
    <row r="38" spans="1:10" ht="22.5">
      <c r="A38" s="1266" t="s">
        <v>196</v>
      </c>
      <c r="B38" s="1266" t="s">
        <v>488</v>
      </c>
      <c r="C38" s="1285" t="s">
        <v>492</v>
      </c>
      <c r="D38" s="1269" t="s">
        <v>853</v>
      </c>
      <c r="E38" s="1266" t="s">
        <v>142</v>
      </c>
      <c r="F38" s="1289">
        <v>32.88</v>
      </c>
      <c r="G38" s="1181">
        <f t="shared" si="3"/>
        <v>466.9</v>
      </c>
      <c r="H38" s="1321">
        <f t="shared" si="4"/>
        <v>15351.67</v>
      </c>
      <c r="J38" s="1187">
        <v>353.82</v>
      </c>
    </row>
    <row r="39" spans="1:10" ht="12.75">
      <c r="A39" s="1271"/>
      <c r="B39" s="1271"/>
      <c r="C39" s="1272"/>
      <c r="D39" s="1273" t="s">
        <v>22</v>
      </c>
      <c r="E39" s="1271"/>
      <c r="F39" s="1274"/>
      <c r="G39" s="1184"/>
      <c r="H39" s="1318">
        <f>SUM(H30:H38)</f>
        <v>107123.06999999999</v>
      </c>
      <c r="J39" s="1184"/>
    </row>
    <row r="40" spans="1:10" ht="12.75">
      <c r="A40" s="1275" t="s">
        <v>590</v>
      </c>
      <c r="B40" s="1275"/>
      <c r="C40" s="1276"/>
      <c r="D40" s="1277" t="s">
        <v>608</v>
      </c>
      <c r="E40" s="1278"/>
      <c r="F40" s="1279"/>
      <c r="G40" s="1185"/>
      <c r="H40" s="1319"/>
      <c r="J40" s="1185"/>
    </row>
    <row r="41" spans="1:10" ht="12.75">
      <c r="A41" s="1266" t="s">
        <v>65</v>
      </c>
      <c r="B41" s="1266" t="s">
        <v>488</v>
      </c>
      <c r="C41" s="1266">
        <v>60101</v>
      </c>
      <c r="D41" s="1269" t="s">
        <v>859</v>
      </c>
      <c r="E41" s="1266" t="s">
        <v>138</v>
      </c>
      <c r="F41" s="1268">
        <v>2</v>
      </c>
      <c r="G41" s="1181">
        <f aca="true" t="shared" si="5" ref="G41:G50">ROUND(J41*1.3196,2)</f>
        <v>463.01</v>
      </c>
      <c r="H41" s="1321">
        <f>ROUND(F41*G41,2)</f>
        <v>926.02</v>
      </c>
      <c r="J41" s="1182">
        <v>350.87</v>
      </c>
    </row>
    <row r="42" spans="1:10" ht="22.5">
      <c r="A42" s="1266" t="s">
        <v>591</v>
      </c>
      <c r="B42" s="1266" t="s">
        <v>488</v>
      </c>
      <c r="C42" s="1266">
        <v>61301</v>
      </c>
      <c r="D42" s="1269" t="s">
        <v>860</v>
      </c>
      <c r="E42" s="1266" t="s">
        <v>138</v>
      </c>
      <c r="F42" s="1268">
        <v>4</v>
      </c>
      <c r="G42" s="1181">
        <f t="shared" si="5"/>
        <v>1172.13</v>
      </c>
      <c r="H42" s="1321">
        <f aca="true" t="shared" si="6" ref="H42:H50">ROUND(F42*G42,2)</f>
        <v>4688.52</v>
      </c>
      <c r="J42" s="1182">
        <v>888.25</v>
      </c>
    </row>
    <row r="43" spans="1:10" ht="12.75">
      <c r="A43" s="1266" t="s">
        <v>592</v>
      </c>
      <c r="B43" s="1266" t="s">
        <v>488</v>
      </c>
      <c r="C43" s="1266">
        <v>60103</v>
      </c>
      <c r="D43" s="1269" t="s">
        <v>504</v>
      </c>
      <c r="E43" s="1266" t="s">
        <v>138</v>
      </c>
      <c r="F43" s="1268">
        <v>12</v>
      </c>
      <c r="G43" s="1181">
        <f t="shared" si="5"/>
        <v>463.01</v>
      </c>
      <c r="H43" s="1321">
        <f t="shared" si="6"/>
        <v>5556.12</v>
      </c>
      <c r="J43" s="1182">
        <v>350.87</v>
      </c>
    </row>
    <row r="44" spans="1:10" ht="22.5">
      <c r="A44" s="1266" t="s">
        <v>593</v>
      </c>
      <c r="B44" s="1266" t="s">
        <v>488</v>
      </c>
      <c r="C44" s="1266">
        <v>61303</v>
      </c>
      <c r="D44" s="1269" t="s">
        <v>505</v>
      </c>
      <c r="E44" s="1266" t="s">
        <v>138</v>
      </c>
      <c r="F44" s="1268">
        <v>12</v>
      </c>
      <c r="G44" s="1181">
        <f t="shared" si="5"/>
        <v>1193.47</v>
      </c>
      <c r="H44" s="1321">
        <f t="shared" si="6"/>
        <v>14321.64</v>
      </c>
      <c r="J44" s="1182">
        <v>904.42</v>
      </c>
    </row>
    <row r="45" spans="1:10" ht="28.5" customHeight="1">
      <c r="A45" s="1266" t="s">
        <v>602</v>
      </c>
      <c r="B45" s="1266" t="s">
        <v>488</v>
      </c>
      <c r="C45" s="1285" t="s">
        <v>503</v>
      </c>
      <c r="D45" s="1269" t="s">
        <v>502</v>
      </c>
      <c r="E45" s="1266" t="s">
        <v>138</v>
      </c>
      <c r="F45" s="1268">
        <v>3</v>
      </c>
      <c r="G45" s="1181">
        <f t="shared" si="5"/>
        <v>1006.33</v>
      </c>
      <c r="H45" s="1321">
        <f t="shared" si="6"/>
        <v>3018.99</v>
      </c>
      <c r="J45" s="1182">
        <v>762.6</v>
      </c>
    </row>
    <row r="46" spans="1:10" ht="22.5">
      <c r="A46" s="1266" t="s">
        <v>617</v>
      </c>
      <c r="B46" s="1266" t="s">
        <v>488</v>
      </c>
      <c r="C46" s="1266">
        <v>71703</v>
      </c>
      <c r="D46" s="1269" t="s">
        <v>861</v>
      </c>
      <c r="E46" s="1266" t="s">
        <v>128</v>
      </c>
      <c r="F46" s="1268">
        <v>5.6</v>
      </c>
      <c r="G46" s="1181">
        <f t="shared" si="5"/>
        <v>632.77</v>
      </c>
      <c r="H46" s="1321">
        <f t="shared" si="6"/>
        <v>3543.51</v>
      </c>
      <c r="J46" s="1182">
        <v>479.52</v>
      </c>
    </row>
    <row r="47" spans="1:10" ht="22.5">
      <c r="A47" s="1266" t="s">
        <v>681</v>
      </c>
      <c r="B47" s="1266" t="s">
        <v>488</v>
      </c>
      <c r="C47" s="1266">
        <v>71701</v>
      </c>
      <c r="D47" s="1269" t="s">
        <v>862</v>
      </c>
      <c r="E47" s="1266" t="s">
        <v>128</v>
      </c>
      <c r="F47" s="1268">
        <v>20.67</v>
      </c>
      <c r="G47" s="1181">
        <f t="shared" si="5"/>
        <v>757.74</v>
      </c>
      <c r="H47" s="1321">
        <f t="shared" si="6"/>
        <v>15662.49</v>
      </c>
      <c r="J47" s="1182">
        <v>574.22</v>
      </c>
    </row>
    <row r="48" spans="1:10" ht="12.75">
      <c r="A48" s="1266" t="s">
        <v>682</v>
      </c>
      <c r="B48" s="1266" t="s">
        <v>491</v>
      </c>
      <c r="C48" s="1266">
        <v>102181</v>
      </c>
      <c r="D48" s="1267" t="s">
        <v>864</v>
      </c>
      <c r="E48" s="1266" t="s">
        <v>128</v>
      </c>
      <c r="F48" s="1268">
        <v>9.45</v>
      </c>
      <c r="G48" s="1181">
        <f t="shared" si="5"/>
        <v>793.46</v>
      </c>
      <c r="H48" s="1321">
        <f t="shared" si="6"/>
        <v>7498.2</v>
      </c>
      <c r="J48" s="1187">
        <v>601.29</v>
      </c>
    </row>
    <row r="49" spans="1:10" ht="22.5">
      <c r="A49" s="1266" t="s">
        <v>702</v>
      </c>
      <c r="B49" s="1266" t="s">
        <v>491</v>
      </c>
      <c r="C49" s="1266">
        <v>102189</v>
      </c>
      <c r="D49" s="1269" t="s">
        <v>863</v>
      </c>
      <c r="E49" s="1266" t="s">
        <v>138</v>
      </c>
      <c r="F49" s="1268">
        <v>3</v>
      </c>
      <c r="G49" s="1181">
        <f t="shared" si="5"/>
        <v>260.2</v>
      </c>
      <c r="H49" s="1321">
        <f t="shared" si="6"/>
        <v>780.6</v>
      </c>
      <c r="J49" s="1187">
        <v>197.18</v>
      </c>
    </row>
    <row r="50" spans="1:10" ht="12.75">
      <c r="A50" s="1266" t="s">
        <v>1056</v>
      </c>
      <c r="B50" s="1266" t="s">
        <v>488</v>
      </c>
      <c r="C50" s="1266">
        <v>71106</v>
      </c>
      <c r="D50" s="1267" t="s">
        <v>865</v>
      </c>
      <c r="E50" s="1266" t="s">
        <v>128</v>
      </c>
      <c r="F50" s="1268">
        <v>5.31</v>
      </c>
      <c r="G50" s="1181">
        <f t="shared" si="5"/>
        <v>1133.64</v>
      </c>
      <c r="H50" s="1321">
        <f t="shared" si="6"/>
        <v>6019.63</v>
      </c>
      <c r="J50" s="1182">
        <v>859.08</v>
      </c>
    </row>
    <row r="51" spans="1:10" ht="12.75">
      <c r="A51" s="1271"/>
      <c r="B51" s="1271"/>
      <c r="C51" s="1272"/>
      <c r="D51" s="1273" t="s">
        <v>22</v>
      </c>
      <c r="E51" s="1271"/>
      <c r="F51" s="1274"/>
      <c r="G51" s="1184"/>
      <c r="H51" s="1318">
        <f>SUM(H41:H50)</f>
        <v>62015.719999999994</v>
      </c>
      <c r="J51" s="1184"/>
    </row>
    <row r="52" spans="1:10" s="1188" customFormat="1" ht="12.75">
      <c r="A52" s="1275" t="s">
        <v>594</v>
      </c>
      <c r="B52" s="1275"/>
      <c r="C52" s="1276"/>
      <c r="D52" s="1277" t="s">
        <v>88</v>
      </c>
      <c r="E52" s="1278"/>
      <c r="F52" s="1279"/>
      <c r="G52" s="1185"/>
      <c r="H52" s="1319"/>
      <c r="J52" s="1185"/>
    </row>
    <row r="53" spans="1:10" ht="22.5">
      <c r="A53" s="1266" t="s">
        <v>595</v>
      </c>
      <c r="B53" s="1266" t="s">
        <v>488</v>
      </c>
      <c r="C53" s="1285" t="s">
        <v>1118</v>
      </c>
      <c r="D53" s="1269" t="s">
        <v>1117</v>
      </c>
      <c r="E53" s="1266" t="s">
        <v>128</v>
      </c>
      <c r="F53" s="1268">
        <v>158.01</v>
      </c>
      <c r="G53" s="1181">
        <f>ROUND(J53*1.3196,2)</f>
        <v>347.41</v>
      </c>
      <c r="H53" s="1317">
        <f>ROUND(G53*F53,2)</f>
        <v>54894.25</v>
      </c>
      <c r="J53" s="1187">
        <v>263.27</v>
      </c>
    </row>
    <row r="54" spans="1:10" ht="22.5">
      <c r="A54" s="1266" t="s">
        <v>618</v>
      </c>
      <c r="B54" s="1266" t="s">
        <v>488</v>
      </c>
      <c r="C54" s="1266">
        <v>90228</v>
      </c>
      <c r="D54" s="1290" t="s">
        <v>1112</v>
      </c>
      <c r="E54" s="1266" t="s">
        <v>128</v>
      </c>
      <c r="F54" s="1268">
        <v>158.01</v>
      </c>
      <c r="G54" s="1181">
        <f>ROUND(J54*1.3196,2)</f>
        <v>132.92</v>
      </c>
      <c r="H54" s="1317">
        <f>ROUND(G54*F54,2)</f>
        <v>21002.69</v>
      </c>
      <c r="J54" s="1187">
        <v>100.73</v>
      </c>
    </row>
    <row r="55" spans="1:10" ht="12.75">
      <c r="A55" s="1266" t="s">
        <v>619</v>
      </c>
      <c r="B55" s="1266" t="s">
        <v>488</v>
      </c>
      <c r="C55" s="1266">
        <v>90302</v>
      </c>
      <c r="D55" s="1267" t="s">
        <v>866</v>
      </c>
      <c r="E55" s="1266" t="s">
        <v>128</v>
      </c>
      <c r="F55" s="1268">
        <v>53.47</v>
      </c>
      <c r="G55" s="1181">
        <f>ROUND(J55*1.3196,2)</f>
        <v>59.83</v>
      </c>
      <c r="H55" s="1317">
        <f>ROUND(G55*F55,2)</f>
        <v>3199.11</v>
      </c>
      <c r="J55" s="1187">
        <v>45.34</v>
      </c>
    </row>
    <row r="56" spans="1:10" ht="12.75">
      <c r="A56" s="1266" t="s">
        <v>620</v>
      </c>
      <c r="B56" s="1266" t="s">
        <v>491</v>
      </c>
      <c r="C56" s="1266">
        <v>89512</v>
      </c>
      <c r="D56" s="1269" t="s">
        <v>867</v>
      </c>
      <c r="E56" s="1266" t="s">
        <v>127</v>
      </c>
      <c r="F56" s="1268">
        <v>24</v>
      </c>
      <c r="G56" s="1181">
        <f>ROUND(J56*1.3196,2)</f>
        <v>104.51</v>
      </c>
      <c r="H56" s="1317">
        <f>ROUND(G56*F56,2)</f>
        <v>2508.24</v>
      </c>
      <c r="J56" s="1187">
        <v>79.2</v>
      </c>
    </row>
    <row r="57" spans="1:10" ht="12.75">
      <c r="A57" s="1266" t="s">
        <v>621</v>
      </c>
      <c r="B57" s="1266" t="s">
        <v>488</v>
      </c>
      <c r="C57" s="1266">
        <v>90305</v>
      </c>
      <c r="D57" s="1267" t="s">
        <v>800</v>
      </c>
      <c r="E57" s="1266" t="s">
        <v>127</v>
      </c>
      <c r="F57" s="1268">
        <v>39.75</v>
      </c>
      <c r="G57" s="1181">
        <f>ROUND(J57*1.3196,2)</f>
        <v>359.55</v>
      </c>
      <c r="H57" s="1317">
        <f>ROUND(G57*F57,2)</f>
        <v>14292.11</v>
      </c>
      <c r="J57" s="1182">
        <v>272.47</v>
      </c>
    </row>
    <row r="58" spans="1:10" ht="12.75">
      <c r="A58" s="1271"/>
      <c r="B58" s="1271"/>
      <c r="C58" s="1272"/>
      <c r="D58" s="1273" t="s">
        <v>22</v>
      </c>
      <c r="E58" s="1271"/>
      <c r="F58" s="1274"/>
      <c r="G58" s="1184"/>
      <c r="H58" s="1318">
        <f>SUM(H53:H57)</f>
        <v>95896.40000000001</v>
      </c>
      <c r="J58" s="1184"/>
    </row>
    <row r="59" spans="1:10" ht="12.75">
      <c r="A59" s="1275" t="s">
        <v>596</v>
      </c>
      <c r="B59" s="1275"/>
      <c r="C59" s="1276"/>
      <c r="D59" s="1277" t="s">
        <v>19</v>
      </c>
      <c r="E59" s="1278"/>
      <c r="F59" s="1279"/>
      <c r="G59" s="1185"/>
      <c r="H59" s="1319"/>
      <c r="J59" s="1185"/>
    </row>
    <row r="60" spans="1:10" ht="13.5" customHeight="1">
      <c r="A60" s="1266" t="s">
        <v>597</v>
      </c>
      <c r="B60" s="1266" t="s">
        <v>488</v>
      </c>
      <c r="C60" s="1266">
        <v>40813</v>
      </c>
      <c r="D60" s="1267" t="s">
        <v>868</v>
      </c>
      <c r="E60" s="1266" t="s">
        <v>128</v>
      </c>
      <c r="F60" s="1268">
        <v>34.43</v>
      </c>
      <c r="G60" s="1181">
        <f>ROUND(J60*1.3196,2)</f>
        <v>94.07</v>
      </c>
      <c r="H60" s="1317">
        <f>ROUND(G60*F60,2)</f>
        <v>3238.83</v>
      </c>
      <c r="J60" s="1182">
        <v>71.29</v>
      </c>
    </row>
    <row r="61" spans="1:10" ht="16.5" customHeight="1">
      <c r="A61" s="1266" t="s">
        <v>598</v>
      </c>
      <c r="B61" s="1266" t="s">
        <v>491</v>
      </c>
      <c r="C61" s="1285" t="s">
        <v>699</v>
      </c>
      <c r="D61" s="1269" t="s">
        <v>869</v>
      </c>
      <c r="E61" s="1266" t="s">
        <v>128</v>
      </c>
      <c r="F61" s="1268">
        <v>34.43</v>
      </c>
      <c r="G61" s="1181">
        <f>ROUND(J61*1.3196,2)</f>
        <v>67.18</v>
      </c>
      <c r="H61" s="1317">
        <f>ROUND(G61*F61,2)</f>
        <v>2313.01</v>
      </c>
      <c r="J61" s="1187">
        <v>50.91</v>
      </c>
    </row>
    <row r="62" spans="1:10" ht="12.75">
      <c r="A62" s="1271"/>
      <c r="B62" s="1271"/>
      <c r="C62" s="1272"/>
      <c r="D62" s="1273" t="s">
        <v>22</v>
      </c>
      <c r="E62" s="1271"/>
      <c r="F62" s="1274"/>
      <c r="G62" s="1184"/>
      <c r="H62" s="1318">
        <f>SUM(H60:H61)</f>
        <v>5551.84</v>
      </c>
      <c r="J62" s="1184"/>
    </row>
    <row r="63" spans="1:10" ht="12.75">
      <c r="A63" s="1275" t="s">
        <v>599</v>
      </c>
      <c r="B63" s="1275"/>
      <c r="C63" s="1276"/>
      <c r="D63" s="1277" t="s">
        <v>84</v>
      </c>
      <c r="E63" s="1278"/>
      <c r="F63" s="1279"/>
      <c r="G63" s="1185"/>
      <c r="H63" s="1319"/>
      <c r="J63" s="1185"/>
    </row>
    <row r="64" spans="1:10" ht="27" customHeight="1">
      <c r="A64" s="1266" t="s">
        <v>600</v>
      </c>
      <c r="B64" s="1266" t="s">
        <v>488</v>
      </c>
      <c r="C64" s="1266">
        <v>50503</v>
      </c>
      <c r="D64" s="1269" t="s">
        <v>870</v>
      </c>
      <c r="E64" s="1266" t="s">
        <v>128</v>
      </c>
      <c r="F64" s="1268">
        <v>403.33</v>
      </c>
      <c r="G64" s="1181">
        <f>ROUND(J64*1.3196,2)</f>
        <v>95.45</v>
      </c>
      <c r="H64" s="1317">
        <f>ROUND(G64*F64,2)</f>
        <v>38497.85</v>
      </c>
      <c r="J64" s="1187">
        <v>72.33</v>
      </c>
    </row>
    <row r="65" spans="1:10" ht="12.75" customHeight="1">
      <c r="A65" s="1266" t="s">
        <v>698</v>
      </c>
      <c r="B65" s="1266" t="s">
        <v>488</v>
      </c>
      <c r="C65" s="1266">
        <v>50205</v>
      </c>
      <c r="D65" s="1267" t="s">
        <v>805</v>
      </c>
      <c r="E65" s="1266" t="s">
        <v>128</v>
      </c>
      <c r="F65" s="1268">
        <v>10.37</v>
      </c>
      <c r="G65" s="1181">
        <f>ROUND(J65*1.3196,2)</f>
        <v>545.06</v>
      </c>
      <c r="H65" s="1317">
        <f>ROUND(G65*F65,2)</f>
        <v>5652.27</v>
      </c>
      <c r="J65" s="1182">
        <v>413.05</v>
      </c>
    </row>
    <row r="66" spans="1:10" ht="12.75">
      <c r="A66" s="1271"/>
      <c r="B66" s="1271"/>
      <c r="C66" s="1272"/>
      <c r="D66" s="1273" t="s">
        <v>22</v>
      </c>
      <c r="E66" s="1271"/>
      <c r="F66" s="1274"/>
      <c r="G66" s="1184"/>
      <c r="H66" s="1318">
        <f>SUM(H64:H65)</f>
        <v>44150.119999999995</v>
      </c>
      <c r="J66" s="1184"/>
    </row>
    <row r="67" spans="1:10" s="1188" customFormat="1" ht="12.75">
      <c r="A67" s="1275" t="s">
        <v>601</v>
      </c>
      <c r="B67" s="1275"/>
      <c r="C67" s="1276"/>
      <c r="D67" s="1277" t="s">
        <v>85</v>
      </c>
      <c r="E67" s="1278"/>
      <c r="F67" s="1279"/>
      <c r="G67" s="1185"/>
      <c r="H67" s="1319"/>
      <c r="J67" s="1185"/>
    </row>
    <row r="68" spans="1:10" ht="12.75">
      <c r="A68" s="1266" t="s">
        <v>605</v>
      </c>
      <c r="B68" s="1266" t="s">
        <v>488</v>
      </c>
      <c r="C68" s="1266">
        <v>120308</v>
      </c>
      <c r="D68" s="1269" t="s">
        <v>871</v>
      </c>
      <c r="E68" s="1266" t="s">
        <v>128</v>
      </c>
      <c r="F68" s="1268">
        <v>1003.17</v>
      </c>
      <c r="G68" s="1181">
        <f>ROUND(J68*1.3196,2)</f>
        <v>8.7</v>
      </c>
      <c r="H68" s="1317">
        <f>ROUND(G68*F68,2)</f>
        <v>8727.58</v>
      </c>
      <c r="J68" s="1187">
        <v>6.59</v>
      </c>
    </row>
    <row r="69" spans="1:10" ht="15.75" customHeight="1">
      <c r="A69" s="1266" t="s">
        <v>804</v>
      </c>
      <c r="B69" s="1266" t="s">
        <v>488</v>
      </c>
      <c r="C69" s="1266">
        <v>120301</v>
      </c>
      <c r="D69" s="1269" t="s">
        <v>872</v>
      </c>
      <c r="E69" s="1266" t="s">
        <v>128</v>
      </c>
      <c r="F69" s="1268">
        <v>116.12</v>
      </c>
      <c r="G69" s="1181">
        <f>ROUND(J69*1.3196,2)</f>
        <v>36.63</v>
      </c>
      <c r="H69" s="1317">
        <f>ROUND(G69*F69,2)</f>
        <v>4253.48</v>
      </c>
      <c r="J69" s="1187">
        <v>27.76</v>
      </c>
    </row>
    <row r="70" spans="1:10" ht="28.5" customHeight="1">
      <c r="A70" s="1266" t="s">
        <v>705</v>
      </c>
      <c r="B70" s="1266" t="s">
        <v>491</v>
      </c>
      <c r="C70" s="1285" t="s">
        <v>500</v>
      </c>
      <c r="D70" s="1291" t="s">
        <v>873</v>
      </c>
      <c r="E70" s="1266" t="s">
        <v>128</v>
      </c>
      <c r="F70" s="1268">
        <f>116.12+285</f>
        <v>401.12</v>
      </c>
      <c r="G70" s="1181">
        <f>ROUND(J70*1.3196,2)</f>
        <v>77.51</v>
      </c>
      <c r="H70" s="1317">
        <f>ROUND(G70*F70,2)</f>
        <v>31090.81</v>
      </c>
      <c r="J70" s="1187">
        <v>58.74</v>
      </c>
    </row>
    <row r="71" spans="1:10" ht="15.75" customHeight="1">
      <c r="A71" s="1266" t="s">
        <v>1057</v>
      </c>
      <c r="B71" s="1266" t="s">
        <v>1109</v>
      </c>
      <c r="C71" s="1285" t="s">
        <v>1108</v>
      </c>
      <c r="D71" s="1291" t="s">
        <v>1107</v>
      </c>
      <c r="E71" s="1266" t="s">
        <v>1110</v>
      </c>
      <c r="F71" s="1268">
        <v>196.51</v>
      </c>
      <c r="G71" s="1181">
        <f>ROUND(J71*1.3196,2)</f>
        <v>54.99</v>
      </c>
      <c r="H71" s="1317">
        <f>ROUND(G71*F71,2)</f>
        <v>10806.08</v>
      </c>
      <c r="J71" s="1187">
        <v>41.67</v>
      </c>
    </row>
    <row r="72" spans="1:10" ht="27" customHeight="1">
      <c r="A72" s="1266" t="s">
        <v>1106</v>
      </c>
      <c r="B72" s="1266" t="s">
        <v>491</v>
      </c>
      <c r="C72" s="1285" t="s">
        <v>493</v>
      </c>
      <c r="D72" s="1269" t="s">
        <v>874</v>
      </c>
      <c r="E72" s="1266" t="s">
        <v>128</v>
      </c>
      <c r="F72" s="1268">
        <v>887.05</v>
      </c>
      <c r="G72" s="1181">
        <f>ROUND(J72*1.3196,2)</f>
        <v>42.89</v>
      </c>
      <c r="H72" s="1317">
        <f>ROUND(G72*F72,2)</f>
        <v>38045.57</v>
      </c>
      <c r="J72" s="1187">
        <v>32.5</v>
      </c>
    </row>
    <row r="73" spans="1:10" ht="12.75">
      <c r="A73" s="1271"/>
      <c r="B73" s="1271"/>
      <c r="C73" s="1272"/>
      <c r="D73" s="1273" t="s">
        <v>22</v>
      </c>
      <c r="E73" s="1271"/>
      <c r="F73" s="1274"/>
      <c r="G73" s="1184"/>
      <c r="H73" s="1318">
        <f>SUM(H68:H72)</f>
        <v>92923.52</v>
      </c>
      <c r="J73" s="1184"/>
    </row>
    <row r="74" spans="1:10" s="1188" customFormat="1" ht="12.75">
      <c r="A74" s="1275" t="s">
        <v>622</v>
      </c>
      <c r="B74" s="1275"/>
      <c r="C74" s="1276"/>
      <c r="D74" s="1277" t="s">
        <v>736</v>
      </c>
      <c r="E74" s="1278"/>
      <c r="F74" s="1279"/>
      <c r="G74" s="1185"/>
      <c r="H74" s="1319"/>
      <c r="J74" s="1185"/>
    </row>
    <row r="75" spans="1:10" s="1188" customFormat="1" ht="12.75">
      <c r="A75" s="1266" t="s">
        <v>623</v>
      </c>
      <c r="B75" s="1266" t="s">
        <v>488</v>
      </c>
      <c r="C75" s="1266">
        <v>130109</v>
      </c>
      <c r="D75" s="1267" t="s">
        <v>875</v>
      </c>
      <c r="E75" s="1283" t="s">
        <v>128</v>
      </c>
      <c r="F75" s="1268">
        <v>379.27</v>
      </c>
      <c r="G75" s="1181">
        <f aca="true" t="shared" si="7" ref="G75:G83">ROUND(J75*1.3196,2)</f>
        <v>87.58</v>
      </c>
      <c r="H75" s="1317">
        <f>ROUND(F75*G75,2)</f>
        <v>33216.47</v>
      </c>
      <c r="J75" s="1187">
        <v>66.37</v>
      </c>
    </row>
    <row r="76" spans="1:10" s="1188" customFormat="1" ht="12.75">
      <c r="A76" s="1266" t="s">
        <v>624</v>
      </c>
      <c r="B76" s="1266" t="s">
        <v>488</v>
      </c>
      <c r="C76" s="1266">
        <v>130308</v>
      </c>
      <c r="D76" s="1267" t="s">
        <v>876</v>
      </c>
      <c r="E76" s="1266" t="s">
        <v>127</v>
      </c>
      <c r="F76" s="1268">
        <v>18.55</v>
      </c>
      <c r="G76" s="1181">
        <f t="shared" si="7"/>
        <v>61.36</v>
      </c>
      <c r="H76" s="1317">
        <f aca="true" t="shared" si="8" ref="H76:H83">ROUND(F76*G76,2)</f>
        <v>1138.23</v>
      </c>
      <c r="J76" s="1187">
        <v>46.5</v>
      </c>
    </row>
    <row r="77" spans="1:10" s="1188" customFormat="1" ht="12.75">
      <c r="A77" s="1266" t="s">
        <v>685</v>
      </c>
      <c r="B77" s="1266" t="s">
        <v>488</v>
      </c>
      <c r="C77" s="1266">
        <v>130209</v>
      </c>
      <c r="D77" s="1267" t="s">
        <v>877</v>
      </c>
      <c r="E77" s="1266" t="s">
        <v>128</v>
      </c>
      <c r="F77" s="1268">
        <v>159.35</v>
      </c>
      <c r="G77" s="1181">
        <f t="shared" si="7"/>
        <v>112.72</v>
      </c>
      <c r="H77" s="1317">
        <f t="shared" si="8"/>
        <v>17961.93</v>
      </c>
      <c r="J77" s="1187">
        <v>85.42</v>
      </c>
    </row>
    <row r="78" spans="1:10" s="1188" customFormat="1" ht="12.75">
      <c r="A78" s="1266" t="s">
        <v>686</v>
      </c>
      <c r="B78" s="1266" t="s">
        <v>488</v>
      </c>
      <c r="C78" s="1285" t="s">
        <v>689</v>
      </c>
      <c r="D78" s="1269" t="s">
        <v>688</v>
      </c>
      <c r="E78" s="1266" t="s">
        <v>128</v>
      </c>
      <c r="F78" s="1268">
        <v>196.51</v>
      </c>
      <c r="G78" s="1181">
        <f t="shared" si="7"/>
        <v>26.17</v>
      </c>
      <c r="H78" s="1317">
        <f t="shared" si="8"/>
        <v>5142.67</v>
      </c>
      <c r="J78" s="1187">
        <v>19.83</v>
      </c>
    </row>
    <row r="79" spans="1:10" s="1188" customFormat="1" ht="22.5">
      <c r="A79" s="1266" t="s">
        <v>1058</v>
      </c>
      <c r="B79" s="1266" t="s">
        <v>488</v>
      </c>
      <c r="C79" s="1266">
        <v>130233</v>
      </c>
      <c r="D79" s="1269" t="s">
        <v>1111</v>
      </c>
      <c r="E79" s="1266" t="s">
        <v>128</v>
      </c>
      <c r="F79" s="1268">
        <v>196.51</v>
      </c>
      <c r="G79" s="1181">
        <f t="shared" si="7"/>
        <v>133.54</v>
      </c>
      <c r="H79" s="1317">
        <f t="shared" si="8"/>
        <v>26241.95</v>
      </c>
      <c r="J79" s="1187">
        <v>101.2</v>
      </c>
    </row>
    <row r="80" spans="1:10" s="1188" customFormat="1" ht="12.75">
      <c r="A80" s="1266" t="s">
        <v>1059</v>
      </c>
      <c r="B80" s="1266" t="s">
        <v>488</v>
      </c>
      <c r="C80" s="1266">
        <v>120227</v>
      </c>
      <c r="D80" s="1267" t="s">
        <v>878</v>
      </c>
      <c r="E80" s="1266" t="s">
        <v>127</v>
      </c>
      <c r="F80" s="1268">
        <v>117.6</v>
      </c>
      <c r="G80" s="1181">
        <f t="shared" si="7"/>
        <v>67.5</v>
      </c>
      <c r="H80" s="1317">
        <f t="shared" si="8"/>
        <v>7938</v>
      </c>
      <c r="J80" s="1187">
        <v>51.15</v>
      </c>
    </row>
    <row r="81" spans="1:10" s="1188" customFormat="1" ht="12.75">
      <c r="A81" s="1266" t="s">
        <v>1060</v>
      </c>
      <c r="B81" s="1266" t="s">
        <v>491</v>
      </c>
      <c r="C81" s="1266">
        <v>101733</v>
      </c>
      <c r="D81" s="1269" t="s">
        <v>879</v>
      </c>
      <c r="E81" s="1266" t="s">
        <v>128</v>
      </c>
      <c r="F81" s="1268">
        <v>9.88</v>
      </c>
      <c r="G81" s="1181">
        <f t="shared" si="7"/>
        <v>325</v>
      </c>
      <c r="H81" s="1317">
        <f t="shared" si="8"/>
        <v>3211</v>
      </c>
      <c r="J81" s="1187">
        <v>246.29</v>
      </c>
    </row>
    <row r="82" spans="1:10" s="1188" customFormat="1" ht="22.5" customHeight="1">
      <c r="A82" s="1266" t="s">
        <v>1061</v>
      </c>
      <c r="B82" s="1266" t="s">
        <v>488</v>
      </c>
      <c r="C82" s="1285" t="s">
        <v>729</v>
      </c>
      <c r="D82" s="1269" t="s">
        <v>731</v>
      </c>
      <c r="E82" s="1292" t="s">
        <v>128</v>
      </c>
      <c r="F82" s="1268">
        <v>4.46</v>
      </c>
      <c r="G82" s="1181">
        <f t="shared" si="7"/>
        <v>90.19</v>
      </c>
      <c r="H82" s="1317">
        <f t="shared" si="8"/>
        <v>402.25</v>
      </c>
      <c r="J82" s="1187">
        <v>68.35</v>
      </c>
    </row>
    <row r="83" spans="1:10" s="1188" customFormat="1" ht="22.5">
      <c r="A83" s="1266" t="s">
        <v>1062</v>
      </c>
      <c r="B83" s="1266" t="s">
        <v>488</v>
      </c>
      <c r="C83" s="1285" t="s">
        <v>730</v>
      </c>
      <c r="D83" s="1269" t="s">
        <v>732</v>
      </c>
      <c r="E83" s="1266" t="s">
        <v>128</v>
      </c>
      <c r="F83" s="1268">
        <v>18.95</v>
      </c>
      <c r="G83" s="1181">
        <f t="shared" si="7"/>
        <v>90.19</v>
      </c>
      <c r="H83" s="1317">
        <f t="shared" si="8"/>
        <v>1709.1</v>
      </c>
      <c r="J83" s="1187">
        <v>68.35</v>
      </c>
    </row>
    <row r="84" spans="1:10" ht="12.75">
      <c r="A84" s="1271"/>
      <c r="B84" s="1271"/>
      <c r="C84" s="1272"/>
      <c r="D84" s="1273" t="s">
        <v>22</v>
      </c>
      <c r="E84" s="1271"/>
      <c r="F84" s="1274"/>
      <c r="G84" s="1184"/>
      <c r="H84" s="1318">
        <f>SUM(H75:H83)</f>
        <v>96961.6</v>
      </c>
      <c r="J84" s="1184"/>
    </row>
    <row r="85" spans="1:10" s="1188" customFormat="1" ht="12.75">
      <c r="A85" s="1275" t="s">
        <v>625</v>
      </c>
      <c r="B85" s="1275"/>
      <c r="C85" s="1276"/>
      <c r="D85" s="1277" t="s">
        <v>662</v>
      </c>
      <c r="E85" s="1293"/>
      <c r="F85" s="1279"/>
      <c r="G85" s="1189"/>
      <c r="H85" s="1322"/>
      <c r="J85" s="1189"/>
    </row>
    <row r="86" spans="1:10" s="1188" customFormat="1" ht="21.75" customHeight="1">
      <c r="A86" s="1283" t="s">
        <v>626</v>
      </c>
      <c r="B86" s="1283" t="s">
        <v>488</v>
      </c>
      <c r="C86" s="1285" t="s">
        <v>604</v>
      </c>
      <c r="D86" s="1269" t="s">
        <v>880</v>
      </c>
      <c r="E86" s="1266" t="s">
        <v>138</v>
      </c>
      <c r="F86" s="1268">
        <v>1</v>
      </c>
      <c r="G86" s="1181">
        <f aca="true" t="shared" si="9" ref="G86:G107">ROUND(J86*1.3196,2)</f>
        <v>3908.34</v>
      </c>
      <c r="H86" s="1321">
        <f>ROUND(G86*F86,2)</f>
        <v>3908.34</v>
      </c>
      <c r="J86" s="1181">
        <v>2961.76</v>
      </c>
    </row>
    <row r="87" spans="1:10" s="1188" customFormat="1" ht="24" customHeight="1">
      <c r="A87" s="1283" t="s">
        <v>627</v>
      </c>
      <c r="B87" s="1266" t="s">
        <v>488</v>
      </c>
      <c r="C87" s="1285" t="s">
        <v>497</v>
      </c>
      <c r="D87" s="1269" t="s">
        <v>881</v>
      </c>
      <c r="E87" s="1266" t="s">
        <v>614</v>
      </c>
      <c r="F87" s="1268">
        <v>22</v>
      </c>
      <c r="G87" s="1181">
        <f t="shared" si="9"/>
        <v>263.23</v>
      </c>
      <c r="H87" s="1321">
        <f aca="true" t="shared" si="10" ref="H87:H107">ROUND(G87*F87,2)</f>
        <v>5791.06</v>
      </c>
      <c r="J87" s="1182">
        <v>199.48</v>
      </c>
    </row>
    <row r="88" spans="1:10" s="1188" customFormat="1" ht="27.75" customHeight="1">
      <c r="A88" s="1283" t="s">
        <v>628</v>
      </c>
      <c r="B88" s="1266" t="s">
        <v>488</v>
      </c>
      <c r="C88" s="1266">
        <v>151803</v>
      </c>
      <c r="D88" s="1269" t="s">
        <v>882</v>
      </c>
      <c r="E88" s="1266" t="s">
        <v>614</v>
      </c>
      <c r="F88" s="1268">
        <v>54</v>
      </c>
      <c r="G88" s="1181">
        <f t="shared" si="9"/>
        <v>268.25</v>
      </c>
      <c r="H88" s="1321">
        <f t="shared" si="10"/>
        <v>14485.5</v>
      </c>
      <c r="J88" s="1182">
        <v>203.28</v>
      </c>
    </row>
    <row r="89" spans="1:10" s="1188" customFormat="1" ht="24" customHeight="1">
      <c r="A89" s="1283" t="s">
        <v>629</v>
      </c>
      <c r="B89" s="1266" t="s">
        <v>488</v>
      </c>
      <c r="C89" s="1285" t="s">
        <v>710</v>
      </c>
      <c r="D89" s="1269" t="s">
        <v>708</v>
      </c>
      <c r="E89" s="1266" t="s">
        <v>614</v>
      </c>
      <c r="F89" s="1294">
        <v>1</v>
      </c>
      <c r="G89" s="1181">
        <f t="shared" si="9"/>
        <v>314.69</v>
      </c>
      <c r="H89" s="1321">
        <f t="shared" si="10"/>
        <v>314.69</v>
      </c>
      <c r="J89" s="1182">
        <v>238.47</v>
      </c>
    </row>
    <row r="90" spans="1:10" s="1188" customFormat="1" ht="26.25" customHeight="1">
      <c r="A90" s="1283" t="s">
        <v>630</v>
      </c>
      <c r="B90" s="1266" t="s">
        <v>488</v>
      </c>
      <c r="C90" s="1266">
        <v>151806</v>
      </c>
      <c r="D90" s="1269" t="s">
        <v>883</v>
      </c>
      <c r="E90" s="1266" t="s">
        <v>614</v>
      </c>
      <c r="F90" s="1294">
        <v>6</v>
      </c>
      <c r="G90" s="1181">
        <f t="shared" si="9"/>
        <v>401.61</v>
      </c>
      <c r="H90" s="1321">
        <f t="shared" si="10"/>
        <v>2409.66</v>
      </c>
      <c r="J90" s="1182">
        <v>304.34</v>
      </c>
    </row>
    <row r="91" spans="1:10" s="1188" customFormat="1" ht="24.75" customHeight="1">
      <c r="A91" s="1283" t="s">
        <v>672</v>
      </c>
      <c r="B91" s="1266" t="s">
        <v>488</v>
      </c>
      <c r="C91" s="1266">
        <v>151801</v>
      </c>
      <c r="D91" s="1269" t="s">
        <v>881</v>
      </c>
      <c r="E91" s="1266" t="s">
        <v>614</v>
      </c>
      <c r="F91" s="1268">
        <v>15</v>
      </c>
      <c r="G91" s="1181">
        <f t="shared" si="9"/>
        <v>263.23</v>
      </c>
      <c r="H91" s="1321">
        <f t="shared" si="10"/>
        <v>3948.45</v>
      </c>
      <c r="J91" s="1182">
        <v>199.48</v>
      </c>
    </row>
    <row r="92" spans="1:10" s="1188" customFormat="1" ht="24.75" customHeight="1">
      <c r="A92" s="1283" t="s">
        <v>673</v>
      </c>
      <c r="B92" s="1266" t="s">
        <v>488</v>
      </c>
      <c r="C92" s="1266">
        <v>151820</v>
      </c>
      <c r="D92" s="1269" t="s">
        <v>884</v>
      </c>
      <c r="E92" s="1266" t="s">
        <v>614</v>
      </c>
      <c r="F92" s="1268">
        <v>10</v>
      </c>
      <c r="G92" s="1181">
        <f t="shared" si="9"/>
        <v>225.89</v>
      </c>
      <c r="H92" s="1321">
        <f t="shared" si="10"/>
        <v>2258.9</v>
      </c>
      <c r="J92" s="1182">
        <v>171.18</v>
      </c>
    </row>
    <row r="93" spans="1:10" s="1188" customFormat="1" ht="24.75" customHeight="1">
      <c r="A93" s="1283" t="s">
        <v>687</v>
      </c>
      <c r="B93" s="1266" t="s">
        <v>488</v>
      </c>
      <c r="C93" s="1266">
        <v>151809</v>
      </c>
      <c r="D93" s="1269" t="s">
        <v>885</v>
      </c>
      <c r="E93" s="1266" t="s">
        <v>614</v>
      </c>
      <c r="F93" s="1268">
        <v>2</v>
      </c>
      <c r="G93" s="1181">
        <f t="shared" si="9"/>
        <v>238.17</v>
      </c>
      <c r="H93" s="1321">
        <f t="shared" si="10"/>
        <v>476.34</v>
      </c>
      <c r="J93" s="1182">
        <v>180.49</v>
      </c>
    </row>
    <row r="94" spans="1:10" s="1188" customFormat="1" ht="24.75" customHeight="1">
      <c r="A94" s="1283" t="s">
        <v>728</v>
      </c>
      <c r="B94" s="1266" t="s">
        <v>488</v>
      </c>
      <c r="C94" s="1285" t="s">
        <v>707</v>
      </c>
      <c r="D94" s="1269" t="s">
        <v>706</v>
      </c>
      <c r="E94" s="1266" t="s">
        <v>614</v>
      </c>
      <c r="F94" s="1294">
        <v>2</v>
      </c>
      <c r="G94" s="1181">
        <f t="shared" si="9"/>
        <v>339.23</v>
      </c>
      <c r="H94" s="1321">
        <f t="shared" si="10"/>
        <v>678.46</v>
      </c>
      <c r="J94" s="1182">
        <v>257.07</v>
      </c>
    </row>
    <row r="95" spans="1:10" s="1188" customFormat="1" ht="24.75" customHeight="1">
      <c r="A95" s="1283" t="s">
        <v>1063</v>
      </c>
      <c r="B95" s="1266" t="s">
        <v>488</v>
      </c>
      <c r="C95" s="1266">
        <v>151810</v>
      </c>
      <c r="D95" s="1269" t="s">
        <v>886</v>
      </c>
      <c r="E95" s="1266" t="s">
        <v>614</v>
      </c>
      <c r="F95" s="1294">
        <v>3</v>
      </c>
      <c r="G95" s="1181">
        <f t="shared" si="9"/>
        <v>450.75</v>
      </c>
      <c r="H95" s="1321">
        <f t="shared" si="10"/>
        <v>1352.25</v>
      </c>
      <c r="J95" s="1182">
        <v>341.58</v>
      </c>
    </row>
    <row r="96" spans="1:10" s="1188" customFormat="1" ht="36" customHeight="1">
      <c r="A96" s="1283" t="s">
        <v>1064</v>
      </c>
      <c r="B96" s="1266" t="s">
        <v>488</v>
      </c>
      <c r="C96" s="1266">
        <v>151903</v>
      </c>
      <c r="D96" s="1269" t="s">
        <v>887</v>
      </c>
      <c r="E96" s="1266" t="s">
        <v>138</v>
      </c>
      <c r="F96" s="1268">
        <v>1</v>
      </c>
      <c r="G96" s="1181">
        <f t="shared" si="9"/>
        <v>1071.07</v>
      </c>
      <c r="H96" s="1321">
        <f t="shared" si="10"/>
        <v>1071.07</v>
      </c>
      <c r="J96" s="1182">
        <v>811.66</v>
      </c>
    </row>
    <row r="97" spans="1:10" s="1188" customFormat="1" ht="14.25" customHeight="1">
      <c r="A97" s="1283" t="s">
        <v>1065</v>
      </c>
      <c r="B97" s="1266" t="s">
        <v>488</v>
      </c>
      <c r="C97" s="1281" t="s">
        <v>711</v>
      </c>
      <c r="D97" s="1269" t="s">
        <v>709</v>
      </c>
      <c r="E97" s="1266" t="s">
        <v>138</v>
      </c>
      <c r="F97" s="1294">
        <v>1</v>
      </c>
      <c r="G97" s="1181">
        <f t="shared" si="9"/>
        <v>197.11</v>
      </c>
      <c r="H97" s="1321">
        <f t="shared" si="10"/>
        <v>197.11</v>
      </c>
      <c r="J97" s="1182">
        <v>149.37</v>
      </c>
    </row>
    <row r="98" spans="1:10" s="1188" customFormat="1" ht="15" customHeight="1">
      <c r="A98" s="1283" t="s">
        <v>1066</v>
      </c>
      <c r="B98" s="1266" t="s">
        <v>488</v>
      </c>
      <c r="C98" s="1266">
        <v>151329</v>
      </c>
      <c r="D98" s="1269" t="s">
        <v>888</v>
      </c>
      <c r="E98" s="1266" t="s">
        <v>138</v>
      </c>
      <c r="F98" s="1268">
        <v>6</v>
      </c>
      <c r="G98" s="1181">
        <f t="shared" si="9"/>
        <v>106.39</v>
      </c>
      <c r="H98" s="1321">
        <f t="shared" si="10"/>
        <v>638.34</v>
      </c>
      <c r="J98" s="1182">
        <v>80.62</v>
      </c>
    </row>
    <row r="99" spans="1:10" s="1188" customFormat="1" ht="14.25" customHeight="1">
      <c r="A99" s="1283" t="s">
        <v>1067</v>
      </c>
      <c r="B99" s="1266" t="s">
        <v>488</v>
      </c>
      <c r="C99" s="1266">
        <v>151320</v>
      </c>
      <c r="D99" s="1267" t="s">
        <v>889</v>
      </c>
      <c r="E99" s="1266" t="s">
        <v>138</v>
      </c>
      <c r="F99" s="1268">
        <v>11</v>
      </c>
      <c r="G99" s="1181">
        <f t="shared" si="9"/>
        <v>54.08</v>
      </c>
      <c r="H99" s="1321">
        <f t="shared" si="10"/>
        <v>594.88</v>
      </c>
      <c r="J99" s="1182">
        <v>40.98</v>
      </c>
    </row>
    <row r="100" spans="1:10" s="1188" customFormat="1" ht="25.5" customHeight="1">
      <c r="A100" s="1283" t="s">
        <v>1068</v>
      </c>
      <c r="B100" s="1266" t="s">
        <v>491</v>
      </c>
      <c r="C100" s="1266">
        <v>97585</v>
      </c>
      <c r="D100" s="1269" t="s">
        <v>891</v>
      </c>
      <c r="E100" s="1266" t="s">
        <v>138</v>
      </c>
      <c r="F100" s="1268">
        <v>3</v>
      </c>
      <c r="G100" s="1181">
        <f t="shared" si="9"/>
        <v>164.03</v>
      </c>
      <c r="H100" s="1321">
        <f t="shared" si="10"/>
        <v>492.09</v>
      </c>
      <c r="J100" s="1182">
        <v>124.3</v>
      </c>
    </row>
    <row r="101" spans="1:71" s="1188" customFormat="1" ht="21.75" customHeight="1">
      <c r="A101" s="1283" t="s">
        <v>1069</v>
      </c>
      <c r="B101" s="1266" t="s">
        <v>491</v>
      </c>
      <c r="C101" s="1266">
        <v>97586</v>
      </c>
      <c r="D101" s="1295" t="s">
        <v>890</v>
      </c>
      <c r="E101" s="1266" t="s">
        <v>138</v>
      </c>
      <c r="F101" s="1296">
        <v>19</v>
      </c>
      <c r="G101" s="1181">
        <f t="shared" si="9"/>
        <v>224.78</v>
      </c>
      <c r="H101" s="1321">
        <f t="shared" si="10"/>
        <v>4270.82</v>
      </c>
      <c r="I101" s="1179">
        <v>97585</v>
      </c>
      <c r="J101" s="1180">
        <v>170.34</v>
      </c>
      <c r="K101" s="1179">
        <v>97585</v>
      </c>
      <c r="L101" s="1179">
        <v>97585</v>
      </c>
      <c r="M101" s="1179">
        <v>97585</v>
      </c>
      <c r="N101" s="1179">
        <v>97585</v>
      </c>
      <c r="O101" s="1179">
        <v>97585</v>
      </c>
      <c r="P101" s="1179">
        <v>97585</v>
      </c>
      <c r="Q101" s="1179">
        <v>97585</v>
      </c>
      <c r="R101" s="1179">
        <v>97585</v>
      </c>
      <c r="S101" s="1179">
        <v>97585</v>
      </c>
      <c r="T101" s="1179">
        <v>97585</v>
      </c>
      <c r="U101" s="1179">
        <v>97585</v>
      </c>
      <c r="V101" s="1179">
        <v>97585</v>
      </c>
      <c r="W101" s="1179">
        <v>97585</v>
      </c>
      <c r="X101" s="1179">
        <v>97585</v>
      </c>
      <c r="Y101" s="1179">
        <v>97585</v>
      </c>
      <c r="Z101" s="1179">
        <v>97585</v>
      </c>
      <c r="AA101" s="1179">
        <v>97585</v>
      </c>
      <c r="AB101" s="1179">
        <v>97585</v>
      </c>
      <c r="AC101" s="1179">
        <v>97585</v>
      </c>
      <c r="AD101" s="1179">
        <v>97585</v>
      </c>
      <c r="AE101" s="1179">
        <v>97585</v>
      </c>
      <c r="AF101" s="1179">
        <v>97585</v>
      </c>
      <c r="AG101" s="1179">
        <v>97585</v>
      </c>
      <c r="AH101" s="1179">
        <v>97585</v>
      </c>
      <c r="AI101" s="1179">
        <v>97585</v>
      </c>
      <c r="AJ101" s="1179">
        <v>97585</v>
      </c>
      <c r="AK101" s="1179">
        <v>97585</v>
      </c>
      <c r="AL101" s="1179">
        <v>97585</v>
      </c>
      <c r="AM101" s="1179">
        <v>97585</v>
      </c>
      <c r="AN101" s="1179">
        <v>97585</v>
      </c>
      <c r="AO101" s="1179">
        <v>97585</v>
      </c>
      <c r="AP101" s="1179">
        <v>97585</v>
      </c>
      <c r="AQ101" s="1179">
        <v>97585</v>
      </c>
      <c r="AR101" s="1179">
        <v>97585</v>
      </c>
      <c r="AS101" s="1179">
        <v>97585</v>
      </c>
      <c r="AT101" s="1179">
        <v>97585</v>
      </c>
      <c r="AU101" s="1179">
        <v>97585</v>
      </c>
      <c r="AV101" s="1179">
        <v>97585</v>
      </c>
      <c r="AW101" s="1179">
        <v>97585</v>
      </c>
      <c r="AX101" s="1179">
        <v>97585</v>
      </c>
      <c r="AY101" s="1179">
        <v>97585</v>
      </c>
      <c r="AZ101" s="1179">
        <v>97585</v>
      </c>
      <c r="BA101" s="1179">
        <v>97585</v>
      </c>
      <c r="BB101" s="1179">
        <v>97585</v>
      </c>
      <c r="BC101" s="1179">
        <v>97585</v>
      </c>
      <c r="BD101" s="1179">
        <v>97585</v>
      </c>
      <c r="BE101" s="1179">
        <v>97585</v>
      </c>
      <c r="BF101" s="1179">
        <v>97585</v>
      </c>
      <c r="BG101" s="1179">
        <v>97585</v>
      </c>
      <c r="BH101" s="1179">
        <v>97585</v>
      </c>
      <c r="BI101" s="1179">
        <v>97585</v>
      </c>
      <c r="BJ101" s="1179">
        <v>97585</v>
      </c>
      <c r="BK101" s="1179">
        <v>97585</v>
      </c>
      <c r="BL101" s="1179">
        <v>97585</v>
      </c>
      <c r="BM101" s="1179">
        <v>97585</v>
      </c>
      <c r="BN101" s="1179">
        <v>97585</v>
      </c>
      <c r="BO101" s="1179">
        <v>97585</v>
      </c>
      <c r="BP101" s="1179">
        <v>97585</v>
      </c>
      <c r="BQ101" s="1179">
        <v>97585</v>
      </c>
      <c r="BR101" s="1179">
        <v>97585</v>
      </c>
      <c r="BS101" s="1179">
        <v>97585</v>
      </c>
    </row>
    <row r="102" spans="1:10" s="1188" customFormat="1" ht="17.25" customHeight="1">
      <c r="A102" s="1283" t="s">
        <v>1070</v>
      </c>
      <c r="B102" s="1266" t="s">
        <v>488</v>
      </c>
      <c r="C102" s="1266">
        <v>180201</v>
      </c>
      <c r="D102" s="1267" t="s">
        <v>897</v>
      </c>
      <c r="E102" s="1266" t="s">
        <v>138</v>
      </c>
      <c r="F102" s="1289">
        <v>55</v>
      </c>
      <c r="G102" s="1181">
        <f t="shared" si="9"/>
        <v>50.45</v>
      </c>
      <c r="H102" s="1321">
        <f t="shared" si="10"/>
        <v>2774.75</v>
      </c>
      <c r="J102" s="1182">
        <v>38.23</v>
      </c>
    </row>
    <row r="103" spans="1:10" s="1188" customFormat="1" ht="12.75" customHeight="1">
      <c r="A103" s="1283" t="s">
        <v>1071</v>
      </c>
      <c r="B103" s="1266" t="s">
        <v>488</v>
      </c>
      <c r="C103" s="1266">
        <v>180202</v>
      </c>
      <c r="D103" s="1267" t="s">
        <v>898</v>
      </c>
      <c r="E103" s="1266" t="s">
        <v>138</v>
      </c>
      <c r="F103" s="1289">
        <v>6</v>
      </c>
      <c r="G103" s="1181">
        <f t="shared" si="9"/>
        <v>59.29</v>
      </c>
      <c r="H103" s="1321">
        <f t="shared" si="10"/>
        <v>355.74</v>
      </c>
      <c r="J103" s="1182">
        <v>44.93</v>
      </c>
    </row>
    <row r="104" spans="1:10" s="1188" customFormat="1" ht="12.75" customHeight="1">
      <c r="A104" s="1283" t="s">
        <v>1072</v>
      </c>
      <c r="B104" s="1266" t="s">
        <v>488</v>
      </c>
      <c r="C104" s="1266">
        <v>180204</v>
      </c>
      <c r="D104" s="1267" t="s">
        <v>899</v>
      </c>
      <c r="E104" s="1266" t="s">
        <v>138</v>
      </c>
      <c r="F104" s="1289">
        <v>10</v>
      </c>
      <c r="G104" s="1181">
        <f t="shared" si="9"/>
        <v>44.69</v>
      </c>
      <c r="H104" s="1321">
        <f t="shared" si="10"/>
        <v>446.9</v>
      </c>
      <c r="J104" s="1182">
        <v>33.87</v>
      </c>
    </row>
    <row r="105" spans="1:10" s="1188" customFormat="1" ht="17.25" customHeight="1">
      <c r="A105" s="1283" t="s">
        <v>1073</v>
      </c>
      <c r="B105" s="1266" t="s">
        <v>488</v>
      </c>
      <c r="C105" s="1266">
        <v>180205</v>
      </c>
      <c r="D105" s="1267" t="s">
        <v>900</v>
      </c>
      <c r="E105" s="1266" t="s">
        <v>138</v>
      </c>
      <c r="F105" s="1289">
        <v>2</v>
      </c>
      <c r="G105" s="1181">
        <f t="shared" si="9"/>
        <v>76.22</v>
      </c>
      <c r="H105" s="1321">
        <f t="shared" si="10"/>
        <v>152.44</v>
      </c>
      <c r="J105" s="1182">
        <v>57.76</v>
      </c>
    </row>
    <row r="106" spans="1:10" s="1188" customFormat="1" ht="12.75" customHeight="1">
      <c r="A106" s="1283" t="s">
        <v>1074</v>
      </c>
      <c r="B106" s="1266" t="s">
        <v>488</v>
      </c>
      <c r="C106" s="1266">
        <v>180212</v>
      </c>
      <c r="D106" s="1267" t="s">
        <v>901</v>
      </c>
      <c r="E106" s="1266" t="s">
        <v>138</v>
      </c>
      <c r="F106" s="1289">
        <v>2</v>
      </c>
      <c r="G106" s="1181">
        <f t="shared" si="9"/>
        <v>107.75</v>
      </c>
      <c r="H106" s="1321">
        <f t="shared" si="10"/>
        <v>215.5</v>
      </c>
      <c r="J106" s="1182">
        <v>81.65</v>
      </c>
    </row>
    <row r="107" spans="1:10" s="1188" customFormat="1" ht="12" customHeight="1">
      <c r="A107" s="1283" t="s">
        <v>1075</v>
      </c>
      <c r="B107" s="1266" t="s">
        <v>488</v>
      </c>
      <c r="C107" s="1266">
        <v>180206</v>
      </c>
      <c r="D107" s="1267" t="s">
        <v>902</v>
      </c>
      <c r="E107" s="1266" t="s">
        <v>138</v>
      </c>
      <c r="F107" s="1289">
        <v>3</v>
      </c>
      <c r="G107" s="1181">
        <f t="shared" si="9"/>
        <v>54.42</v>
      </c>
      <c r="H107" s="1321">
        <f t="shared" si="10"/>
        <v>163.26</v>
      </c>
      <c r="J107" s="1182">
        <v>41.24</v>
      </c>
    </row>
    <row r="108" spans="1:10" ht="12.75">
      <c r="A108" s="1271"/>
      <c r="B108" s="1271"/>
      <c r="C108" s="1272"/>
      <c r="D108" s="1273" t="s">
        <v>22</v>
      </c>
      <c r="E108" s="1297"/>
      <c r="F108" s="1274"/>
      <c r="G108" s="1191"/>
      <c r="H108" s="1318">
        <f>SUM(H86:H107)</f>
        <v>46996.54999999999</v>
      </c>
      <c r="J108" s="1191"/>
    </row>
    <row r="109" spans="1:10" ht="12.75">
      <c r="A109" s="1275" t="s">
        <v>631</v>
      </c>
      <c r="B109" s="1275"/>
      <c r="C109" s="1276"/>
      <c r="D109" s="1277" t="s">
        <v>663</v>
      </c>
      <c r="E109" s="1293"/>
      <c r="F109" s="1279"/>
      <c r="G109" s="1189"/>
      <c r="H109" s="1322"/>
      <c r="J109" s="1189"/>
    </row>
    <row r="110" spans="1:10" ht="12.75">
      <c r="A110" s="1266" t="s">
        <v>632</v>
      </c>
      <c r="B110" s="1266" t="s">
        <v>488</v>
      </c>
      <c r="C110" s="1266">
        <v>170540</v>
      </c>
      <c r="D110" s="1269" t="s">
        <v>916</v>
      </c>
      <c r="E110" s="1266" t="s">
        <v>138</v>
      </c>
      <c r="F110" s="1289">
        <v>2</v>
      </c>
      <c r="G110" s="1181">
        <f aca="true" t="shared" si="11" ref="G110:G136">ROUND(J110*1.3196,2)</f>
        <v>1172.95</v>
      </c>
      <c r="H110" s="1321">
        <f>ROUND(G110*F110,2)</f>
        <v>2345.9</v>
      </c>
      <c r="J110" s="1182">
        <v>888.87</v>
      </c>
    </row>
    <row r="111" spans="1:10" s="1192" customFormat="1" ht="12.75">
      <c r="A111" s="1266" t="s">
        <v>633</v>
      </c>
      <c r="B111" s="1266" t="s">
        <v>488</v>
      </c>
      <c r="C111" s="1298" t="s">
        <v>610</v>
      </c>
      <c r="D111" s="1299" t="s">
        <v>609</v>
      </c>
      <c r="E111" s="1266" t="s">
        <v>614</v>
      </c>
      <c r="F111" s="1300">
        <v>14</v>
      </c>
      <c r="G111" s="1181">
        <f t="shared" si="11"/>
        <v>125.02</v>
      </c>
      <c r="H111" s="1321">
        <f aca="true" t="shared" si="12" ref="H111:H136">ROUND(G111*F111,2)</f>
        <v>1750.28</v>
      </c>
      <c r="J111" s="1187">
        <v>94.74</v>
      </c>
    </row>
    <row r="112" spans="1:10" s="1192" customFormat="1" ht="12.75">
      <c r="A112" s="1266" t="s">
        <v>634</v>
      </c>
      <c r="B112" s="1266" t="s">
        <v>488</v>
      </c>
      <c r="C112" s="1298" t="s">
        <v>508</v>
      </c>
      <c r="D112" s="1299" t="s">
        <v>611</v>
      </c>
      <c r="E112" s="1266" t="s">
        <v>614</v>
      </c>
      <c r="F112" s="1300">
        <v>5</v>
      </c>
      <c r="G112" s="1181">
        <f t="shared" si="11"/>
        <v>146.78</v>
      </c>
      <c r="H112" s="1321">
        <f t="shared" si="12"/>
        <v>733.9</v>
      </c>
      <c r="J112" s="1182">
        <v>111.23</v>
      </c>
    </row>
    <row r="113" spans="1:10" s="1192" customFormat="1" ht="12.75">
      <c r="A113" s="1266" t="s">
        <v>635</v>
      </c>
      <c r="B113" s="1266" t="s">
        <v>488</v>
      </c>
      <c r="C113" s="1298" t="s">
        <v>613</v>
      </c>
      <c r="D113" s="1299" t="s">
        <v>612</v>
      </c>
      <c r="E113" s="1266" t="s">
        <v>614</v>
      </c>
      <c r="F113" s="1300">
        <v>7</v>
      </c>
      <c r="G113" s="1181">
        <f t="shared" si="11"/>
        <v>113.88</v>
      </c>
      <c r="H113" s="1321">
        <f t="shared" si="12"/>
        <v>797.16</v>
      </c>
      <c r="J113" s="1187">
        <v>86.3</v>
      </c>
    </row>
    <row r="114" spans="1:10" s="1192" customFormat="1" ht="12.75">
      <c r="A114" s="1266" t="s">
        <v>636</v>
      </c>
      <c r="B114" s="1266" t="s">
        <v>488</v>
      </c>
      <c r="C114" s="1298" t="s">
        <v>718</v>
      </c>
      <c r="D114" s="1299" t="s">
        <v>717</v>
      </c>
      <c r="E114" s="1266" t="s">
        <v>614</v>
      </c>
      <c r="F114" s="1300">
        <v>5</v>
      </c>
      <c r="G114" s="1181">
        <f t="shared" si="11"/>
        <v>209.91</v>
      </c>
      <c r="H114" s="1321">
        <f t="shared" si="12"/>
        <v>1049.55</v>
      </c>
      <c r="J114" s="1182">
        <v>159.07</v>
      </c>
    </row>
    <row r="115" spans="1:10" s="1192" customFormat="1" ht="22.5">
      <c r="A115" s="1266" t="s">
        <v>637</v>
      </c>
      <c r="B115" s="1266" t="s">
        <v>488</v>
      </c>
      <c r="C115" s="1298" t="s">
        <v>735</v>
      </c>
      <c r="D115" s="1299" t="s">
        <v>734</v>
      </c>
      <c r="E115" s="1266" t="s">
        <v>614</v>
      </c>
      <c r="F115" s="1300">
        <v>2</v>
      </c>
      <c r="G115" s="1181">
        <f t="shared" si="11"/>
        <v>1582.64</v>
      </c>
      <c r="H115" s="1321">
        <f t="shared" si="12"/>
        <v>3165.28</v>
      </c>
      <c r="J115" s="1181">
        <v>1199.33</v>
      </c>
    </row>
    <row r="116" spans="1:10" s="1192" customFormat="1" ht="22.5">
      <c r="A116" s="1266" t="s">
        <v>638</v>
      </c>
      <c r="B116" s="1266" t="s">
        <v>488</v>
      </c>
      <c r="C116" s="1266">
        <v>140714</v>
      </c>
      <c r="D116" s="1269" t="s">
        <v>917</v>
      </c>
      <c r="E116" s="1266" t="s">
        <v>138</v>
      </c>
      <c r="F116" s="1268">
        <v>1</v>
      </c>
      <c r="G116" s="1181">
        <f t="shared" si="11"/>
        <v>1594.84</v>
      </c>
      <c r="H116" s="1321">
        <f t="shared" si="12"/>
        <v>1594.84</v>
      </c>
      <c r="J116" s="1181">
        <v>1208.58</v>
      </c>
    </row>
    <row r="117" spans="1:10" s="1192" customFormat="1" ht="12.75">
      <c r="A117" s="1266" t="s">
        <v>639</v>
      </c>
      <c r="B117" s="1266" t="s">
        <v>488</v>
      </c>
      <c r="C117" s="1266">
        <v>170328</v>
      </c>
      <c r="D117" s="1267" t="s">
        <v>615</v>
      </c>
      <c r="E117" s="1266" t="s">
        <v>138</v>
      </c>
      <c r="F117" s="1268">
        <v>6</v>
      </c>
      <c r="G117" s="1181">
        <f t="shared" si="11"/>
        <v>164.74</v>
      </c>
      <c r="H117" s="1321">
        <f t="shared" si="12"/>
        <v>988.44</v>
      </c>
      <c r="J117" s="1182">
        <v>124.84</v>
      </c>
    </row>
    <row r="118" spans="1:10" s="1192" customFormat="1" ht="22.5">
      <c r="A118" s="1266" t="s">
        <v>640</v>
      </c>
      <c r="B118" s="1266" t="s">
        <v>488</v>
      </c>
      <c r="C118" s="1266">
        <v>170116</v>
      </c>
      <c r="D118" s="1269" t="s">
        <v>918</v>
      </c>
      <c r="E118" s="1266" t="s">
        <v>138</v>
      </c>
      <c r="F118" s="1268">
        <v>3</v>
      </c>
      <c r="G118" s="1181">
        <f t="shared" si="11"/>
        <v>537.99</v>
      </c>
      <c r="H118" s="1321">
        <f t="shared" si="12"/>
        <v>1613.97</v>
      </c>
      <c r="J118" s="1182">
        <v>407.69</v>
      </c>
    </row>
    <row r="119" spans="1:10" s="1192" customFormat="1" ht="22.5">
      <c r="A119" s="1266" t="s">
        <v>641</v>
      </c>
      <c r="B119" s="1266" t="s">
        <v>491</v>
      </c>
      <c r="C119" s="1281" t="s">
        <v>690</v>
      </c>
      <c r="D119" s="1269" t="s">
        <v>936</v>
      </c>
      <c r="E119" s="1266" t="s">
        <v>138</v>
      </c>
      <c r="F119" s="1300">
        <v>2</v>
      </c>
      <c r="G119" s="1181">
        <f t="shared" si="11"/>
        <v>817.49</v>
      </c>
      <c r="H119" s="1321">
        <f t="shared" si="12"/>
        <v>1634.98</v>
      </c>
      <c r="J119" s="1193">
        <v>619.5</v>
      </c>
    </row>
    <row r="120" spans="1:10" s="1192" customFormat="1" ht="12.75">
      <c r="A120" s="1266" t="s">
        <v>712</v>
      </c>
      <c r="B120" s="1266" t="s">
        <v>488</v>
      </c>
      <c r="C120" s="1281" t="s">
        <v>697</v>
      </c>
      <c r="D120" s="1269" t="s">
        <v>696</v>
      </c>
      <c r="E120" s="1266" t="s">
        <v>138</v>
      </c>
      <c r="F120" s="1300">
        <v>2</v>
      </c>
      <c r="G120" s="1181">
        <f t="shared" si="11"/>
        <v>712.43</v>
      </c>
      <c r="H120" s="1321">
        <f t="shared" si="12"/>
        <v>1424.86</v>
      </c>
      <c r="J120" s="1182">
        <v>539.88</v>
      </c>
    </row>
    <row r="121" spans="1:10" ht="12.75">
      <c r="A121" s="1266" t="s">
        <v>713</v>
      </c>
      <c r="B121" s="1266" t="s">
        <v>488</v>
      </c>
      <c r="C121" s="1266">
        <v>170205</v>
      </c>
      <c r="D121" s="1267" t="s">
        <v>919</v>
      </c>
      <c r="E121" s="1292" t="s">
        <v>128</v>
      </c>
      <c r="F121" s="1289">
        <v>1.89</v>
      </c>
      <c r="G121" s="1181">
        <f t="shared" si="11"/>
        <v>591.96</v>
      </c>
      <c r="H121" s="1321">
        <f t="shared" si="12"/>
        <v>1118.8</v>
      </c>
      <c r="J121" s="1182">
        <v>448.59</v>
      </c>
    </row>
    <row r="122" spans="1:10" ht="22.5">
      <c r="A122" s="1266" t="s">
        <v>714</v>
      </c>
      <c r="B122" s="1266" t="s">
        <v>488</v>
      </c>
      <c r="C122" s="1266">
        <v>170115</v>
      </c>
      <c r="D122" s="1269" t="s">
        <v>920</v>
      </c>
      <c r="E122" s="1266" t="s">
        <v>138</v>
      </c>
      <c r="F122" s="1268">
        <v>2</v>
      </c>
      <c r="G122" s="1181">
        <f t="shared" si="11"/>
        <v>446.13</v>
      </c>
      <c r="H122" s="1321">
        <f t="shared" si="12"/>
        <v>892.26</v>
      </c>
      <c r="J122" s="1182">
        <v>338.08</v>
      </c>
    </row>
    <row r="123" spans="1:10" ht="12.75">
      <c r="A123" s="1266" t="s">
        <v>715</v>
      </c>
      <c r="B123" s="1266" t="s">
        <v>488</v>
      </c>
      <c r="C123" s="1266">
        <v>170546</v>
      </c>
      <c r="D123" s="1267" t="s">
        <v>921</v>
      </c>
      <c r="E123" s="1266" t="s">
        <v>138</v>
      </c>
      <c r="F123" s="1268">
        <v>1</v>
      </c>
      <c r="G123" s="1181">
        <f t="shared" si="11"/>
        <v>497.25</v>
      </c>
      <c r="H123" s="1321">
        <f t="shared" si="12"/>
        <v>497.25</v>
      </c>
      <c r="J123" s="1182">
        <v>376.82</v>
      </c>
    </row>
    <row r="124" spans="1:10" ht="12.75">
      <c r="A124" s="1266" t="s">
        <v>716</v>
      </c>
      <c r="B124" s="1266" t="s">
        <v>491</v>
      </c>
      <c r="C124" s="1281" t="s">
        <v>691</v>
      </c>
      <c r="D124" s="1269" t="s">
        <v>937</v>
      </c>
      <c r="E124" s="1266" t="s">
        <v>138</v>
      </c>
      <c r="F124" s="1289">
        <v>5</v>
      </c>
      <c r="G124" s="1181">
        <f t="shared" si="11"/>
        <v>43.14</v>
      </c>
      <c r="H124" s="1321">
        <f t="shared" si="12"/>
        <v>215.7</v>
      </c>
      <c r="J124" s="1182">
        <v>32.69</v>
      </c>
    </row>
    <row r="125" spans="1:10" ht="12.75">
      <c r="A125" s="1266" t="s">
        <v>892</v>
      </c>
      <c r="B125" s="1266" t="s">
        <v>491</v>
      </c>
      <c r="C125" s="1266">
        <v>95545</v>
      </c>
      <c r="D125" s="1267" t="s">
        <v>926</v>
      </c>
      <c r="E125" s="1266" t="s">
        <v>138</v>
      </c>
      <c r="F125" s="1268">
        <v>4</v>
      </c>
      <c r="G125" s="1181">
        <f t="shared" si="11"/>
        <v>42.32</v>
      </c>
      <c r="H125" s="1321">
        <f t="shared" si="12"/>
        <v>169.28</v>
      </c>
      <c r="J125" s="1182">
        <v>32.07</v>
      </c>
    </row>
    <row r="126" spans="1:10" ht="12.75">
      <c r="A126" s="1266" t="s">
        <v>893</v>
      </c>
      <c r="B126" s="1266" t="s">
        <v>491</v>
      </c>
      <c r="C126" s="1281" t="s">
        <v>692</v>
      </c>
      <c r="D126" s="1269" t="s">
        <v>938</v>
      </c>
      <c r="E126" s="1266" t="s">
        <v>138</v>
      </c>
      <c r="F126" s="1289">
        <v>5</v>
      </c>
      <c r="G126" s="1181">
        <f t="shared" si="11"/>
        <v>35.4</v>
      </c>
      <c r="H126" s="1321">
        <f t="shared" si="12"/>
        <v>177</v>
      </c>
      <c r="J126" s="1182">
        <v>26.83</v>
      </c>
    </row>
    <row r="127" spans="1:10" ht="22.5">
      <c r="A127" s="1266" t="s">
        <v>894</v>
      </c>
      <c r="B127" s="1266" t="s">
        <v>491</v>
      </c>
      <c r="C127" s="1266">
        <v>80201</v>
      </c>
      <c r="D127" s="1269" t="s">
        <v>927</v>
      </c>
      <c r="E127" s="1292" t="s">
        <v>128</v>
      </c>
      <c r="F127" s="1268">
        <v>2.4</v>
      </c>
      <c r="G127" s="1181">
        <f t="shared" si="11"/>
        <v>880.71</v>
      </c>
      <c r="H127" s="1321">
        <f t="shared" si="12"/>
        <v>2113.7</v>
      </c>
      <c r="J127" s="1182">
        <v>667.41</v>
      </c>
    </row>
    <row r="128" spans="1:10" ht="12.75">
      <c r="A128" s="1266" t="s">
        <v>895</v>
      </c>
      <c r="B128" s="1266" t="s">
        <v>488</v>
      </c>
      <c r="C128" s="1266">
        <v>170304</v>
      </c>
      <c r="D128" s="1267" t="s">
        <v>924</v>
      </c>
      <c r="E128" s="1266" t="s">
        <v>138</v>
      </c>
      <c r="F128" s="1289">
        <v>4</v>
      </c>
      <c r="G128" s="1181">
        <f t="shared" si="11"/>
        <v>251.9</v>
      </c>
      <c r="H128" s="1321">
        <f t="shared" si="12"/>
        <v>1007.6</v>
      </c>
      <c r="J128" s="1182">
        <v>190.89</v>
      </c>
    </row>
    <row r="129" spans="1:10" ht="12.75">
      <c r="A129" s="1266" t="s">
        <v>896</v>
      </c>
      <c r="B129" s="1266" t="s">
        <v>488</v>
      </c>
      <c r="C129" s="1266">
        <v>170310</v>
      </c>
      <c r="D129" s="1267" t="s">
        <v>925</v>
      </c>
      <c r="E129" s="1266" t="s">
        <v>138</v>
      </c>
      <c r="F129" s="1289">
        <v>1</v>
      </c>
      <c r="G129" s="1181">
        <f t="shared" si="11"/>
        <v>201.38</v>
      </c>
      <c r="H129" s="1321">
        <f t="shared" si="12"/>
        <v>201.38</v>
      </c>
      <c r="J129" s="1182">
        <v>152.61</v>
      </c>
    </row>
    <row r="130" spans="1:10" s="1192" customFormat="1" ht="22.5">
      <c r="A130" s="1266" t="s">
        <v>940</v>
      </c>
      <c r="B130" s="1266" t="s">
        <v>488</v>
      </c>
      <c r="C130" s="1266">
        <v>170512</v>
      </c>
      <c r="D130" s="1269" t="s">
        <v>923</v>
      </c>
      <c r="E130" s="1301" t="s">
        <v>138</v>
      </c>
      <c r="F130" s="1300">
        <v>2</v>
      </c>
      <c r="G130" s="1181">
        <f t="shared" si="11"/>
        <v>768.43</v>
      </c>
      <c r="H130" s="1321">
        <f t="shared" si="12"/>
        <v>1536.86</v>
      </c>
      <c r="J130" s="1182">
        <v>582.32</v>
      </c>
    </row>
    <row r="131" spans="1:10" s="1192" customFormat="1" ht="22.5">
      <c r="A131" s="1266" t="s">
        <v>942</v>
      </c>
      <c r="B131" s="1266" t="s">
        <v>488</v>
      </c>
      <c r="C131" s="1266">
        <v>141107</v>
      </c>
      <c r="D131" s="1269" t="s">
        <v>922</v>
      </c>
      <c r="E131" s="1301" t="s">
        <v>138</v>
      </c>
      <c r="F131" s="1300">
        <v>1</v>
      </c>
      <c r="G131" s="1181">
        <f t="shared" si="11"/>
        <v>899.69</v>
      </c>
      <c r="H131" s="1321">
        <f t="shared" si="12"/>
        <v>899.69</v>
      </c>
      <c r="J131" s="1182">
        <v>681.79</v>
      </c>
    </row>
    <row r="132" spans="1:10" s="1192" customFormat="1" ht="22.5">
      <c r="A132" s="1266" t="s">
        <v>1076</v>
      </c>
      <c r="B132" s="1283" t="s">
        <v>488</v>
      </c>
      <c r="C132" s="1298" t="s">
        <v>720</v>
      </c>
      <c r="D132" s="1299" t="s">
        <v>719</v>
      </c>
      <c r="E132" s="1301" t="s">
        <v>138</v>
      </c>
      <c r="F132" s="1300">
        <v>2</v>
      </c>
      <c r="G132" s="1181">
        <f t="shared" si="11"/>
        <v>332</v>
      </c>
      <c r="H132" s="1321">
        <f t="shared" si="12"/>
        <v>664</v>
      </c>
      <c r="J132" s="1187">
        <v>251.59</v>
      </c>
    </row>
    <row r="133" spans="1:10" s="1192" customFormat="1" ht="22.5">
      <c r="A133" s="1266" t="s">
        <v>1077</v>
      </c>
      <c r="B133" s="1266" t="s">
        <v>488</v>
      </c>
      <c r="C133" s="1298" t="s">
        <v>722</v>
      </c>
      <c r="D133" s="1299" t="s">
        <v>721</v>
      </c>
      <c r="E133" s="1301" t="s">
        <v>138</v>
      </c>
      <c r="F133" s="1300">
        <v>1</v>
      </c>
      <c r="G133" s="1181">
        <f t="shared" si="11"/>
        <v>259.84</v>
      </c>
      <c r="H133" s="1321">
        <f t="shared" si="12"/>
        <v>259.84</v>
      </c>
      <c r="J133" s="1187">
        <v>196.91</v>
      </c>
    </row>
    <row r="134" spans="1:10" s="1192" customFormat="1" ht="22.5">
      <c r="A134" s="1266" t="s">
        <v>1078</v>
      </c>
      <c r="B134" s="1266" t="s">
        <v>488</v>
      </c>
      <c r="C134" s="1298" t="s">
        <v>723</v>
      </c>
      <c r="D134" s="1299" t="s">
        <v>725</v>
      </c>
      <c r="E134" s="1301" t="s">
        <v>138</v>
      </c>
      <c r="F134" s="1300">
        <v>1</v>
      </c>
      <c r="G134" s="1181">
        <f t="shared" si="11"/>
        <v>2562.04</v>
      </c>
      <c r="H134" s="1321">
        <f t="shared" si="12"/>
        <v>2562.04</v>
      </c>
      <c r="J134" s="1181">
        <v>1941.53</v>
      </c>
    </row>
    <row r="135" spans="1:10" s="1192" customFormat="1" ht="23.25" customHeight="1">
      <c r="A135" s="1266" t="s">
        <v>1079</v>
      </c>
      <c r="B135" s="1266" t="s">
        <v>488</v>
      </c>
      <c r="C135" s="1285" t="s">
        <v>724</v>
      </c>
      <c r="D135" s="1269" t="s">
        <v>726</v>
      </c>
      <c r="E135" s="1301" t="s">
        <v>138</v>
      </c>
      <c r="F135" s="1300">
        <v>1</v>
      </c>
      <c r="G135" s="1181">
        <f t="shared" si="11"/>
        <v>3304.09</v>
      </c>
      <c r="H135" s="1321">
        <f t="shared" si="12"/>
        <v>3304.09</v>
      </c>
      <c r="J135" s="1181">
        <v>2503.86</v>
      </c>
    </row>
    <row r="136" spans="1:10" s="1192" customFormat="1" ht="15" customHeight="1">
      <c r="A136" s="1266" t="s">
        <v>1080</v>
      </c>
      <c r="B136" s="1266" t="s">
        <v>488</v>
      </c>
      <c r="C136" s="1266">
        <v>170107</v>
      </c>
      <c r="D136" s="1302" t="s">
        <v>939</v>
      </c>
      <c r="E136" s="1301" t="s">
        <v>138</v>
      </c>
      <c r="F136" s="1300">
        <v>1</v>
      </c>
      <c r="G136" s="1181">
        <f t="shared" si="11"/>
        <v>777.1</v>
      </c>
      <c r="H136" s="1321">
        <f t="shared" si="12"/>
        <v>777.1</v>
      </c>
      <c r="J136" s="1194">
        <v>588.89</v>
      </c>
    </row>
    <row r="137" spans="1:10" ht="12.75">
      <c r="A137" s="1303"/>
      <c r="B137" s="1271"/>
      <c r="C137" s="1272"/>
      <c r="D137" s="1273" t="s">
        <v>22</v>
      </c>
      <c r="E137" s="1297"/>
      <c r="F137" s="1274"/>
      <c r="G137" s="1191"/>
      <c r="H137" s="1318">
        <f>SUM(H110:H136)</f>
        <v>33495.75</v>
      </c>
      <c r="J137" s="1191"/>
    </row>
    <row r="138" spans="1:10" ht="12.75">
      <c r="A138" s="1275" t="s">
        <v>642</v>
      </c>
      <c r="B138" s="1275"/>
      <c r="C138" s="1276"/>
      <c r="D138" s="1277" t="s">
        <v>737</v>
      </c>
      <c r="E138" s="1293"/>
      <c r="F138" s="1279"/>
      <c r="G138" s="1189"/>
      <c r="H138" s="1322"/>
      <c r="J138" s="1189"/>
    </row>
    <row r="139" spans="1:10" ht="12.75">
      <c r="A139" s="1283" t="s">
        <v>643</v>
      </c>
      <c r="B139" s="1266" t="s">
        <v>491</v>
      </c>
      <c r="C139" s="1285" t="s">
        <v>747</v>
      </c>
      <c r="D139" s="1269" t="s">
        <v>748</v>
      </c>
      <c r="E139" s="1292" t="s">
        <v>127</v>
      </c>
      <c r="F139" s="1294">
        <v>76.77</v>
      </c>
      <c r="G139" s="1181">
        <f aca="true" t="shared" si="13" ref="G139:G144">ROUND(J139*1.3196,2)</f>
        <v>76</v>
      </c>
      <c r="H139" s="1323">
        <f aca="true" t="shared" si="14" ref="H139:H144">ROUND(F139*G139,2)</f>
        <v>5834.52</v>
      </c>
      <c r="J139" s="1190">
        <v>57.59</v>
      </c>
    </row>
    <row r="140" spans="1:10" ht="12.75">
      <c r="A140" s="1283" t="s">
        <v>644</v>
      </c>
      <c r="B140" s="1266" t="s">
        <v>491</v>
      </c>
      <c r="C140" s="1285" t="s">
        <v>749</v>
      </c>
      <c r="D140" s="1269" t="s">
        <v>750</v>
      </c>
      <c r="E140" s="1292" t="s">
        <v>127</v>
      </c>
      <c r="F140" s="1294">
        <v>49.74</v>
      </c>
      <c r="G140" s="1181">
        <f t="shared" si="13"/>
        <v>72.87</v>
      </c>
      <c r="H140" s="1323">
        <f t="shared" si="14"/>
        <v>3624.55</v>
      </c>
      <c r="J140" s="1190">
        <v>55.22</v>
      </c>
    </row>
    <row r="141" spans="1:10" ht="12.75">
      <c r="A141" s="1283" t="s">
        <v>645</v>
      </c>
      <c r="B141" s="1266" t="s">
        <v>491</v>
      </c>
      <c r="C141" s="1285" t="s">
        <v>751</v>
      </c>
      <c r="D141" s="1269" t="s">
        <v>759</v>
      </c>
      <c r="E141" s="1266" t="s">
        <v>138</v>
      </c>
      <c r="F141" s="1294">
        <v>5</v>
      </c>
      <c r="G141" s="1181">
        <f t="shared" si="13"/>
        <v>70.52</v>
      </c>
      <c r="H141" s="1323">
        <f t="shared" si="14"/>
        <v>352.6</v>
      </c>
      <c r="J141" s="1190">
        <v>53.44</v>
      </c>
    </row>
    <row r="142" spans="1:10" ht="12.75">
      <c r="A142" s="1283" t="s">
        <v>646</v>
      </c>
      <c r="B142" s="1266" t="s">
        <v>491</v>
      </c>
      <c r="C142" s="1285" t="s">
        <v>752</v>
      </c>
      <c r="D142" s="1269" t="s">
        <v>753</v>
      </c>
      <c r="E142" s="1266" t="s">
        <v>138</v>
      </c>
      <c r="F142" s="1294">
        <v>5</v>
      </c>
      <c r="G142" s="1181">
        <f t="shared" si="13"/>
        <v>84.63</v>
      </c>
      <c r="H142" s="1323">
        <f t="shared" si="14"/>
        <v>423.15</v>
      </c>
      <c r="J142" s="1190">
        <v>64.13</v>
      </c>
    </row>
    <row r="143" spans="1:10" ht="13.5" customHeight="1">
      <c r="A143" s="1283" t="s">
        <v>647</v>
      </c>
      <c r="B143" s="1266" t="s">
        <v>488</v>
      </c>
      <c r="C143" s="1285" t="s">
        <v>740</v>
      </c>
      <c r="D143" s="1269" t="s">
        <v>738</v>
      </c>
      <c r="E143" s="1266" t="s">
        <v>138</v>
      </c>
      <c r="F143" s="1294">
        <v>5</v>
      </c>
      <c r="G143" s="1181">
        <f t="shared" si="13"/>
        <v>106.69</v>
      </c>
      <c r="H143" s="1323">
        <f t="shared" si="14"/>
        <v>533.45</v>
      </c>
      <c r="J143" s="1190">
        <v>80.85</v>
      </c>
    </row>
    <row r="144" spans="1:10" ht="12.75">
      <c r="A144" s="1283" t="s">
        <v>648</v>
      </c>
      <c r="B144" s="1266" t="s">
        <v>488</v>
      </c>
      <c r="C144" s="1285" t="s">
        <v>741</v>
      </c>
      <c r="D144" s="1269" t="s">
        <v>739</v>
      </c>
      <c r="E144" s="1266" t="s">
        <v>138</v>
      </c>
      <c r="F144" s="1294">
        <v>5</v>
      </c>
      <c r="G144" s="1181">
        <f t="shared" si="13"/>
        <v>74.03</v>
      </c>
      <c r="H144" s="1323">
        <f t="shared" si="14"/>
        <v>370.15</v>
      </c>
      <c r="J144" s="1190">
        <v>56.1</v>
      </c>
    </row>
    <row r="145" spans="1:10" ht="12.75">
      <c r="A145" s="1303"/>
      <c r="B145" s="1271"/>
      <c r="C145" s="1272"/>
      <c r="D145" s="1273" t="s">
        <v>22</v>
      </c>
      <c r="E145" s="1297"/>
      <c r="F145" s="1274"/>
      <c r="G145" s="1191"/>
      <c r="H145" s="1318">
        <f>SUM(H139:H144)</f>
        <v>11138.42</v>
      </c>
      <c r="J145" s="1191"/>
    </row>
    <row r="146" spans="1:10" ht="12.75">
      <c r="A146" s="1275" t="s">
        <v>651</v>
      </c>
      <c r="B146" s="1275"/>
      <c r="C146" s="1276"/>
      <c r="D146" s="1277" t="s">
        <v>772</v>
      </c>
      <c r="E146" s="1293"/>
      <c r="F146" s="1279"/>
      <c r="G146" s="1189"/>
      <c r="H146" s="1322"/>
      <c r="J146" s="1189"/>
    </row>
    <row r="147" spans="1:10" ht="12" customHeight="1">
      <c r="A147" s="1283" t="s">
        <v>652</v>
      </c>
      <c r="B147" s="1266" t="s">
        <v>488</v>
      </c>
      <c r="C147" s="1266">
        <v>160111</v>
      </c>
      <c r="D147" s="1269" t="s">
        <v>912</v>
      </c>
      <c r="E147" s="1266" t="s">
        <v>138</v>
      </c>
      <c r="F147" s="1294">
        <v>1</v>
      </c>
      <c r="G147" s="1181">
        <f aca="true" t="shared" si="15" ref="G147:G158">ROUND(J147*1.3196,2)</f>
        <v>282.98</v>
      </c>
      <c r="H147" s="1323">
        <f>ROUND(F147*G147,2)</f>
        <v>282.98</v>
      </c>
      <c r="J147" s="1190">
        <v>214.44</v>
      </c>
    </row>
    <row r="148" spans="1:10" ht="10.5" customHeight="1">
      <c r="A148" s="1283" t="s">
        <v>653</v>
      </c>
      <c r="B148" s="1283" t="s">
        <v>491</v>
      </c>
      <c r="C148" s="1266">
        <v>101799</v>
      </c>
      <c r="D148" s="1269" t="s">
        <v>915</v>
      </c>
      <c r="E148" s="1266" t="s">
        <v>138</v>
      </c>
      <c r="F148" s="1294">
        <v>1</v>
      </c>
      <c r="G148" s="1181">
        <f t="shared" si="15"/>
        <v>1212.51</v>
      </c>
      <c r="H148" s="1323">
        <f aca="true" t="shared" si="16" ref="H148:H158">ROUND(F148*G148,2)</f>
        <v>1212.51</v>
      </c>
      <c r="J148" s="1190">
        <v>918.85</v>
      </c>
    </row>
    <row r="149" spans="1:10" ht="22.5">
      <c r="A149" s="1283" t="s">
        <v>654</v>
      </c>
      <c r="B149" s="1266" t="s">
        <v>491</v>
      </c>
      <c r="C149" s="1266">
        <v>100561</v>
      </c>
      <c r="D149" s="1269" t="s">
        <v>913</v>
      </c>
      <c r="E149" s="1266" t="s">
        <v>138</v>
      </c>
      <c r="F149" s="1294">
        <v>1</v>
      </c>
      <c r="G149" s="1181">
        <f t="shared" si="15"/>
        <v>333.74</v>
      </c>
      <c r="H149" s="1323">
        <f t="shared" si="16"/>
        <v>333.74</v>
      </c>
      <c r="J149" s="1190">
        <v>252.91</v>
      </c>
    </row>
    <row r="150" spans="1:10" ht="13.5" customHeight="1">
      <c r="A150" s="1283" t="s">
        <v>659</v>
      </c>
      <c r="B150" s="1266" t="s">
        <v>488</v>
      </c>
      <c r="C150" s="1266">
        <v>151127</v>
      </c>
      <c r="D150" s="1267" t="s">
        <v>914</v>
      </c>
      <c r="E150" s="1266" t="s">
        <v>127</v>
      </c>
      <c r="F150" s="1294">
        <v>60</v>
      </c>
      <c r="G150" s="1181">
        <f t="shared" si="15"/>
        <v>31.99</v>
      </c>
      <c r="H150" s="1323">
        <f t="shared" si="16"/>
        <v>1919.4</v>
      </c>
      <c r="J150" s="1182">
        <v>24.24</v>
      </c>
    </row>
    <row r="151" spans="1:10" ht="13.5" customHeight="1">
      <c r="A151" s="1283" t="s">
        <v>693</v>
      </c>
      <c r="B151" s="1266" t="s">
        <v>491</v>
      </c>
      <c r="C151" s="1304" t="s">
        <v>765</v>
      </c>
      <c r="D151" s="1269" t="s">
        <v>766</v>
      </c>
      <c r="E151" s="1266" t="s">
        <v>127</v>
      </c>
      <c r="F151" s="1294">
        <v>27.8</v>
      </c>
      <c r="G151" s="1181">
        <f t="shared" si="15"/>
        <v>43.92</v>
      </c>
      <c r="H151" s="1323">
        <f t="shared" si="16"/>
        <v>1220.98</v>
      </c>
      <c r="J151" s="1190">
        <v>33.28</v>
      </c>
    </row>
    <row r="152" spans="1:10" ht="13.5" customHeight="1">
      <c r="A152" s="1283" t="s">
        <v>694</v>
      </c>
      <c r="B152" s="1266" t="s">
        <v>491</v>
      </c>
      <c r="C152" s="1304" t="s">
        <v>761</v>
      </c>
      <c r="D152" s="1269" t="s">
        <v>762</v>
      </c>
      <c r="E152" s="1266" t="s">
        <v>138</v>
      </c>
      <c r="F152" s="1294">
        <v>1</v>
      </c>
      <c r="G152" s="1181">
        <f t="shared" si="15"/>
        <v>33.52</v>
      </c>
      <c r="H152" s="1323">
        <f t="shared" si="16"/>
        <v>33.52</v>
      </c>
      <c r="J152" s="1190">
        <v>25.4</v>
      </c>
    </row>
    <row r="153" spans="1:10" ht="13.5" customHeight="1">
      <c r="A153" s="1283" t="s">
        <v>1081</v>
      </c>
      <c r="B153" s="1266" t="s">
        <v>491</v>
      </c>
      <c r="C153" s="1285" t="s">
        <v>760</v>
      </c>
      <c r="D153" s="1269" t="s">
        <v>763</v>
      </c>
      <c r="E153" s="1266" t="s">
        <v>138</v>
      </c>
      <c r="F153" s="1294">
        <v>7</v>
      </c>
      <c r="G153" s="1181">
        <f t="shared" si="15"/>
        <v>12.47</v>
      </c>
      <c r="H153" s="1323">
        <f t="shared" si="16"/>
        <v>87.29</v>
      </c>
      <c r="J153" s="1190">
        <v>9.45</v>
      </c>
    </row>
    <row r="154" spans="1:10" ht="13.5" customHeight="1">
      <c r="A154" s="1283" t="s">
        <v>1082</v>
      </c>
      <c r="B154" s="1305" t="s">
        <v>764</v>
      </c>
      <c r="C154" s="1305"/>
      <c r="D154" s="1269" t="s">
        <v>771</v>
      </c>
      <c r="E154" s="1266" t="s">
        <v>138</v>
      </c>
      <c r="F154" s="1294">
        <v>1</v>
      </c>
      <c r="G154" s="1181">
        <f t="shared" si="15"/>
        <v>0</v>
      </c>
      <c r="H154" s="1323">
        <f t="shared" si="16"/>
        <v>0</v>
      </c>
      <c r="J154" s="1190">
        <f>COTAÇÃO!J15</f>
        <v>0</v>
      </c>
    </row>
    <row r="155" spans="1:10" ht="13.5" customHeight="1">
      <c r="A155" s="1283" t="s">
        <v>1083</v>
      </c>
      <c r="B155" s="1266" t="s">
        <v>491</v>
      </c>
      <c r="C155" s="1285" t="s">
        <v>756</v>
      </c>
      <c r="D155" s="1269" t="s">
        <v>757</v>
      </c>
      <c r="E155" s="1266" t="s">
        <v>138</v>
      </c>
      <c r="F155" s="1294">
        <v>2</v>
      </c>
      <c r="G155" s="1181">
        <f t="shared" si="15"/>
        <v>1682.9</v>
      </c>
      <c r="H155" s="1323">
        <f t="shared" si="16"/>
        <v>3365.8</v>
      </c>
      <c r="J155" s="1181">
        <v>1275.31</v>
      </c>
    </row>
    <row r="156" spans="1:10" ht="13.5" customHeight="1">
      <c r="A156" s="1283" t="s">
        <v>1084</v>
      </c>
      <c r="B156" s="1266" t="s">
        <v>491</v>
      </c>
      <c r="C156" s="1285" t="s">
        <v>770</v>
      </c>
      <c r="D156" s="1269" t="s">
        <v>758</v>
      </c>
      <c r="E156" s="1266" t="s">
        <v>138</v>
      </c>
      <c r="F156" s="1294">
        <v>1</v>
      </c>
      <c r="G156" s="1181">
        <f t="shared" si="15"/>
        <v>2492.38</v>
      </c>
      <c r="H156" s="1323">
        <f t="shared" si="16"/>
        <v>2492.38</v>
      </c>
      <c r="J156" s="1181">
        <v>1888.74</v>
      </c>
    </row>
    <row r="157" spans="1:10" ht="13.5" customHeight="1">
      <c r="A157" s="1283" t="s">
        <v>1085</v>
      </c>
      <c r="B157" s="1266" t="s">
        <v>491</v>
      </c>
      <c r="C157" s="1285" t="s">
        <v>769</v>
      </c>
      <c r="D157" s="1269" t="s">
        <v>767</v>
      </c>
      <c r="E157" s="1266" t="s">
        <v>138</v>
      </c>
      <c r="F157" s="1294">
        <v>15</v>
      </c>
      <c r="G157" s="1181">
        <f t="shared" si="15"/>
        <v>53.93</v>
      </c>
      <c r="H157" s="1323">
        <f t="shared" si="16"/>
        <v>808.95</v>
      </c>
      <c r="J157" s="1182">
        <v>40.87</v>
      </c>
    </row>
    <row r="158" spans="1:10" ht="12.75">
      <c r="A158" s="1283" t="s">
        <v>1086</v>
      </c>
      <c r="B158" s="1266" t="s">
        <v>491</v>
      </c>
      <c r="C158" s="1285" t="s">
        <v>754</v>
      </c>
      <c r="D158" s="1269" t="s">
        <v>755</v>
      </c>
      <c r="E158" s="1292" t="s">
        <v>127</v>
      </c>
      <c r="F158" s="1294">
        <v>900</v>
      </c>
      <c r="G158" s="1181">
        <f t="shared" si="15"/>
        <v>5.13</v>
      </c>
      <c r="H158" s="1323">
        <f t="shared" si="16"/>
        <v>4617</v>
      </c>
      <c r="J158" s="1190">
        <v>3.89</v>
      </c>
    </row>
    <row r="159" spans="1:10" ht="12.75">
      <c r="A159" s="1303"/>
      <c r="B159" s="1271"/>
      <c r="C159" s="1272"/>
      <c r="D159" s="1273" t="s">
        <v>22</v>
      </c>
      <c r="E159" s="1297"/>
      <c r="F159" s="1274"/>
      <c r="G159" s="1191"/>
      <c r="H159" s="1318">
        <f>SUM(H147:H158)</f>
        <v>16374.550000000003</v>
      </c>
      <c r="J159" s="1191"/>
    </row>
    <row r="160" spans="1:10" ht="12.75">
      <c r="A160" s="1275" t="s">
        <v>649</v>
      </c>
      <c r="B160" s="1275"/>
      <c r="C160" s="1276"/>
      <c r="D160" s="1277" t="s">
        <v>89</v>
      </c>
      <c r="E160" s="1293"/>
      <c r="F160" s="1279"/>
      <c r="G160" s="1189"/>
      <c r="H160" s="1322"/>
      <c r="J160" s="1189"/>
    </row>
    <row r="161" spans="1:10" ht="11.25" customHeight="1">
      <c r="A161" s="1266" t="s">
        <v>650</v>
      </c>
      <c r="B161" s="1283" t="s">
        <v>488</v>
      </c>
      <c r="C161" s="1266">
        <v>190103</v>
      </c>
      <c r="D161" s="1269" t="s">
        <v>909</v>
      </c>
      <c r="E161" s="1292" t="s">
        <v>128</v>
      </c>
      <c r="F161" s="1268">
        <v>497.25</v>
      </c>
      <c r="G161" s="1181">
        <f>ROUND(J161*1.3196,2)</f>
        <v>20.92</v>
      </c>
      <c r="H161" s="1324">
        <f>ROUND(G161*F161,2)</f>
        <v>10402.47</v>
      </c>
      <c r="J161" s="1182">
        <v>15.85</v>
      </c>
    </row>
    <row r="162" spans="1:10" ht="12.75">
      <c r="A162" s="1266" t="s">
        <v>727</v>
      </c>
      <c r="B162" s="1283" t="s">
        <v>488</v>
      </c>
      <c r="C162" s="1266">
        <v>190104</v>
      </c>
      <c r="D162" s="1269" t="s">
        <v>907</v>
      </c>
      <c r="E162" s="1292" t="s">
        <v>128</v>
      </c>
      <c r="F162" s="1268">
        <v>196.51</v>
      </c>
      <c r="G162" s="1181">
        <f>ROUND(J162*1.3196,2)</f>
        <v>27.34</v>
      </c>
      <c r="H162" s="1324">
        <f>ROUND(G162*F162,2)</f>
        <v>5372.58</v>
      </c>
      <c r="J162" s="1182">
        <v>20.72</v>
      </c>
    </row>
    <row r="163" spans="1:10" ht="12.75">
      <c r="A163" s="1266" t="s">
        <v>742</v>
      </c>
      <c r="B163" s="1283" t="s">
        <v>488</v>
      </c>
      <c r="C163" s="1266">
        <v>190106</v>
      </c>
      <c r="D163" s="1269" t="s">
        <v>908</v>
      </c>
      <c r="E163" s="1292" t="s">
        <v>128</v>
      </c>
      <c r="F163" s="1268">
        <v>690.54</v>
      </c>
      <c r="G163" s="1181">
        <f>ROUND(J163*1.3196,2)</f>
        <v>27.83</v>
      </c>
      <c r="H163" s="1324">
        <f>ROUND(G163*F163,2)</f>
        <v>19217.73</v>
      </c>
      <c r="J163" s="1182">
        <v>21.09</v>
      </c>
    </row>
    <row r="164" spans="1:10" ht="22.5">
      <c r="A164" s="1266" t="s">
        <v>743</v>
      </c>
      <c r="B164" s="1283" t="s">
        <v>488</v>
      </c>
      <c r="C164" s="1266">
        <v>190302</v>
      </c>
      <c r="D164" s="1269" t="s">
        <v>911</v>
      </c>
      <c r="E164" s="1292" t="s">
        <v>128</v>
      </c>
      <c r="F164" s="1268">
        <v>99.36</v>
      </c>
      <c r="G164" s="1181">
        <f>ROUND(J164*1.3196,2)</f>
        <v>29.88</v>
      </c>
      <c r="H164" s="1324">
        <f>ROUND(G164*F164,2)</f>
        <v>2968.88</v>
      </c>
      <c r="J164" s="1182">
        <v>22.64</v>
      </c>
    </row>
    <row r="165" spans="1:10" ht="22.5">
      <c r="A165" s="1266" t="s">
        <v>744</v>
      </c>
      <c r="B165" s="1283" t="s">
        <v>488</v>
      </c>
      <c r="C165" s="1266">
        <v>190417</v>
      </c>
      <c r="D165" s="1269" t="s">
        <v>910</v>
      </c>
      <c r="E165" s="1292" t="s">
        <v>128</v>
      </c>
      <c r="F165" s="1268">
        <v>10.61</v>
      </c>
      <c r="G165" s="1181">
        <f>ROUND(J165*1.3196,2)</f>
        <v>26.41</v>
      </c>
      <c r="H165" s="1324">
        <f>ROUND(G165*F165,2)</f>
        <v>280.21</v>
      </c>
      <c r="J165" s="1182">
        <v>20.01</v>
      </c>
    </row>
    <row r="166" spans="1:10" ht="12.75">
      <c r="A166" s="1271"/>
      <c r="B166" s="1271"/>
      <c r="C166" s="1272"/>
      <c r="D166" s="1273" t="s">
        <v>22</v>
      </c>
      <c r="E166" s="1297"/>
      <c r="F166" s="1274"/>
      <c r="G166" s="1191"/>
      <c r="H166" s="1318">
        <f>SUM(H161:H165)</f>
        <v>38241.869999999995</v>
      </c>
      <c r="J166" s="1191"/>
    </row>
    <row r="167" spans="1:10" ht="12.75">
      <c r="A167" s="1275" t="s">
        <v>664</v>
      </c>
      <c r="B167" s="1275"/>
      <c r="C167" s="1276"/>
      <c r="D167" s="1277" t="s">
        <v>671</v>
      </c>
      <c r="E167" s="1293"/>
      <c r="F167" s="1279"/>
      <c r="G167" s="1189"/>
      <c r="H167" s="1322"/>
      <c r="J167" s="1189"/>
    </row>
    <row r="168" spans="1:10" ht="12.75">
      <c r="A168" s="1283" t="s">
        <v>665</v>
      </c>
      <c r="B168" s="1283" t="s">
        <v>488</v>
      </c>
      <c r="C168" s="1266">
        <v>200303</v>
      </c>
      <c r="D168" s="1267" t="s">
        <v>903</v>
      </c>
      <c r="E168" s="1301" t="s">
        <v>128</v>
      </c>
      <c r="F168" s="653">
        <v>119.78</v>
      </c>
      <c r="G168" s="1181">
        <f>ROUND(J168*1.3196,2)</f>
        <v>17.33</v>
      </c>
      <c r="H168" s="1323">
        <f>ROUND(F168*G168,2)</f>
        <v>2075.79</v>
      </c>
      <c r="J168" s="1182">
        <v>13.13</v>
      </c>
    </row>
    <row r="169" spans="1:10" ht="12.75">
      <c r="A169" s="1283"/>
      <c r="B169" s="1283" t="s">
        <v>488</v>
      </c>
      <c r="C169" s="1266">
        <v>210304</v>
      </c>
      <c r="D169" s="1291" t="s">
        <v>1116</v>
      </c>
      <c r="E169" s="1301" t="s">
        <v>276</v>
      </c>
      <c r="F169" s="653">
        <v>9</v>
      </c>
      <c r="G169" s="1181">
        <f>ROUND(J169*1.3196,2)</f>
        <v>289.82</v>
      </c>
      <c r="H169" s="1323">
        <f>ROUND(F169*G169,2)</f>
        <v>2608.38</v>
      </c>
      <c r="J169" s="1182">
        <v>219.63</v>
      </c>
    </row>
    <row r="170" spans="1:10" ht="22.5">
      <c r="A170" s="1283" t="s">
        <v>745</v>
      </c>
      <c r="B170" s="1283" t="s">
        <v>488</v>
      </c>
      <c r="C170" s="1266">
        <v>200576</v>
      </c>
      <c r="D170" s="1291" t="s">
        <v>1113</v>
      </c>
      <c r="E170" s="1301" t="s">
        <v>97</v>
      </c>
      <c r="F170" s="653">
        <v>1</v>
      </c>
      <c r="G170" s="1181">
        <f>ROUND(J170*1.3196,2)</f>
        <v>1014.15</v>
      </c>
      <c r="H170" s="1323">
        <f>ROUND(F170*G170,2)</f>
        <v>1014.15</v>
      </c>
      <c r="J170" s="1182">
        <v>768.53</v>
      </c>
    </row>
    <row r="171" spans="1:10" ht="12.75">
      <c r="A171" s="1283" t="s">
        <v>1114</v>
      </c>
      <c r="B171" s="1283" t="s">
        <v>488</v>
      </c>
      <c r="C171" s="1266">
        <v>210301</v>
      </c>
      <c r="D171" s="1267" t="s">
        <v>904</v>
      </c>
      <c r="E171" s="1301" t="s">
        <v>127</v>
      </c>
      <c r="F171" s="653">
        <v>5</v>
      </c>
      <c r="G171" s="1181">
        <f>ROUND(J171*1.3196,2)</f>
        <v>558.39</v>
      </c>
      <c r="H171" s="1323">
        <f>ROUND(F171*G171,2)</f>
        <v>2791.95</v>
      </c>
      <c r="J171" s="1182">
        <v>423.15</v>
      </c>
    </row>
    <row r="172" spans="1:10" ht="12.75">
      <c r="A172" s="1271"/>
      <c r="B172" s="1271"/>
      <c r="C172" s="1272"/>
      <c r="D172" s="1273" t="s">
        <v>22</v>
      </c>
      <c r="E172" s="1297"/>
      <c r="F172" s="1274"/>
      <c r="G172" s="1191"/>
      <c r="H172" s="1318">
        <f>SUM(H168:H171)</f>
        <v>8490.27</v>
      </c>
      <c r="J172" s="1191"/>
    </row>
    <row r="173" spans="1:10" s="1195" customFormat="1" ht="12.75">
      <c r="A173" s="1275">
        <v>16</v>
      </c>
      <c r="B173" s="1275"/>
      <c r="C173" s="1276"/>
      <c r="D173" s="1277" t="s">
        <v>1090</v>
      </c>
      <c r="E173" s="1293"/>
      <c r="F173" s="1279"/>
      <c r="G173" s="1189"/>
      <c r="H173" s="1322"/>
      <c r="J173" s="1189"/>
    </row>
    <row r="174" spans="1:10" s="1196" customFormat="1" ht="22.5">
      <c r="A174" s="1278" t="s">
        <v>667</v>
      </c>
      <c r="B174" s="1283" t="s">
        <v>488</v>
      </c>
      <c r="C174" s="1266">
        <v>200124</v>
      </c>
      <c r="D174" s="1306" t="s">
        <v>1091</v>
      </c>
      <c r="E174" s="1301" t="s">
        <v>127</v>
      </c>
      <c r="F174" s="653">
        <f>19.6+40.37</f>
        <v>59.97</v>
      </c>
      <c r="G174" s="1181">
        <f aca="true" t="shared" si="17" ref="G174:G179">ROUND(J174*1.3196,2)</f>
        <v>1085.08</v>
      </c>
      <c r="H174" s="1325">
        <f>ROUND(G174*F174,2)</f>
        <v>65072.25</v>
      </c>
      <c r="J174" s="1182">
        <v>822.28</v>
      </c>
    </row>
    <row r="175" spans="1:10" s="1196" customFormat="1" ht="15" customHeight="1">
      <c r="A175" s="1278" t="s">
        <v>1096</v>
      </c>
      <c r="B175" s="1283" t="s">
        <v>488</v>
      </c>
      <c r="C175" s="1266">
        <v>200130</v>
      </c>
      <c r="D175" s="1295" t="s">
        <v>1115</v>
      </c>
      <c r="E175" s="1301" t="s">
        <v>127</v>
      </c>
      <c r="F175" s="653">
        <v>32.21</v>
      </c>
      <c r="G175" s="1181">
        <f t="shared" si="17"/>
        <v>2714.46</v>
      </c>
      <c r="H175" s="1325">
        <f>ROUND(F175*G175,2)</f>
        <v>87432.76</v>
      </c>
      <c r="J175" s="1181">
        <v>2057.03</v>
      </c>
    </row>
    <row r="176" spans="1:10" s="1195" customFormat="1" ht="12.75">
      <c r="A176" s="1278" t="s">
        <v>1097</v>
      </c>
      <c r="B176" s="1283" t="s">
        <v>488</v>
      </c>
      <c r="C176" s="1265">
        <v>200202</v>
      </c>
      <c r="D176" s="1287" t="s">
        <v>1092</v>
      </c>
      <c r="E176" s="1301" t="s">
        <v>127</v>
      </c>
      <c r="F176" s="653">
        <v>249.08</v>
      </c>
      <c r="G176" s="1181">
        <f t="shared" si="17"/>
        <v>66.01</v>
      </c>
      <c r="H176" s="1325">
        <f>ROUND(G176*F176,2)</f>
        <v>16441.77</v>
      </c>
      <c r="J176" s="1182">
        <v>50.02</v>
      </c>
    </row>
    <row r="177" spans="1:10" s="1195" customFormat="1" ht="22.5">
      <c r="A177" s="1278" t="s">
        <v>1098</v>
      </c>
      <c r="B177" s="1283" t="s">
        <v>488</v>
      </c>
      <c r="C177" s="1265">
        <v>200206</v>
      </c>
      <c r="D177" s="1287" t="s">
        <v>1093</v>
      </c>
      <c r="E177" s="1301" t="s">
        <v>128</v>
      </c>
      <c r="F177" s="653">
        <v>662.08</v>
      </c>
      <c r="G177" s="1181">
        <f t="shared" si="17"/>
        <v>101.42</v>
      </c>
      <c r="H177" s="1325">
        <f>ROUND(F177*G177,2)</f>
        <v>67148.15</v>
      </c>
      <c r="J177" s="1182">
        <v>76.86</v>
      </c>
    </row>
    <row r="178" spans="1:10" s="1195" customFormat="1" ht="22.5">
      <c r="A178" s="1278" t="s">
        <v>1099</v>
      </c>
      <c r="B178" s="1283" t="s">
        <v>488</v>
      </c>
      <c r="C178" s="1265">
        <v>200209</v>
      </c>
      <c r="D178" s="1287" t="s">
        <v>1094</v>
      </c>
      <c r="E178" s="1301" t="s">
        <v>128</v>
      </c>
      <c r="F178" s="653">
        <v>198.08</v>
      </c>
      <c r="G178" s="1181">
        <f t="shared" si="17"/>
        <v>175.57</v>
      </c>
      <c r="H178" s="1325">
        <f>ROUND(F178*G178,2)</f>
        <v>34776.91</v>
      </c>
      <c r="J178" s="1182">
        <v>133.05</v>
      </c>
    </row>
    <row r="179" spans="1:10" s="1195" customFormat="1" ht="22.5">
      <c r="A179" s="1278" t="s">
        <v>1100</v>
      </c>
      <c r="B179" s="1283" t="s">
        <v>488</v>
      </c>
      <c r="C179" s="1265">
        <v>200253</v>
      </c>
      <c r="D179" s="1287" t="s">
        <v>1095</v>
      </c>
      <c r="E179" s="1301" t="s">
        <v>128</v>
      </c>
      <c r="F179" s="653">
        <v>22.01</v>
      </c>
      <c r="G179" s="1181">
        <f t="shared" si="17"/>
        <v>90.19</v>
      </c>
      <c r="H179" s="1325">
        <f>ROUND(F179*G179,2)</f>
        <v>1985.08</v>
      </c>
      <c r="J179" s="1182">
        <v>68.35</v>
      </c>
    </row>
    <row r="180" spans="1:10" s="1195" customFormat="1" ht="12.75">
      <c r="A180" s="1271"/>
      <c r="B180" s="1303"/>
      <c r="C180" s="1272"/>
      <c r="D180" s="1273" t="s">
        <v>22</v>
      </c>
      <c r="E180" s="1307"/>
      <c r="F180" s="1274"/>
      <c r="G180" s="1197"/>
      <c r="H180" s="1318">
        <f>H179+H178+H177+H176+H175+H174</f>
        <v>272856.92</v>
      </c>
      <c r="J180" s="1198"/>
    </row>
    <row r="181" spans="1:10" ht="12.75">
      <c r="A181" s="1275">
        <v>17</v>
      </c>
      <c r="B181" s="1275"/>
      <c r="C181" s="1276"/>
      <c r="D181" s="1277" t="s">
        <v>669</v>
      </c>
      <c r="E181" s="1293"/>
      <c r="F181" s="1279"/>
      <c r="G181" s="1189"/>
      <c r="H181" s="1322"/>
      <c r="J181" s="1189"/>
    </row>
    <row r="182" spans="1:10" ht="12.75">
      <c r="A182" s="1283" t="s">
        <v>746</v>
      </c>
      <c r="B182" s="1283" t="s">
        <v>488</v>
      </c>
      <c r="C182" s="1266">
        <v>200401</v>
      </c>
      <c r="D182" s="1267" t="s">
        <v>906</v>
      </c>
      <c r="E182" s="1301" t="s">
        <v>128</v>
      </c>
      <c r="F182" s="654">
        <v>220.89</v>
      </c>
      <c r="G182" s="1181">
        <f>ROUND(J182*1.3196,2)</f>
        <v>12.98</v>
      </c>
      <c r="H182" s="1323">
        <f>ROUND(F182*G182,2)</f>
        <v>2867.15</v>
      </c>
      <c r="J182" s="1199">
        <v>9.84</v>
      </c>
    </row>
    <row r="183" spans="1:10" ht="12.75">
      <c r="A183" s="1271"/>
      <c r="B183" s="1271"/>
      <c r="C183" s="1272"/>
      <c r="D183" s="1273" t="s">
        <v>22</v>
      </c>
      <c r="E183" s="1297"/>
      <c r="F183" s="1274"/>
      <c r="G183" s="1314"/>
      <c r="H183" s="1318">
        <f>SUM(H182)</f>
        <v>2867.15</v>
      </c>
      <c r="J183" s="1191"/>
    </row>
    <row r="184" spans="1:10" ht="12.75">
      <c r="A184" s="1308"/>
      <c r="B184" s="1308"/>
      <c r="C184" s="1309"/>
      <c r="D184" s="1310"/>
      <c r="E184" s="1311"/>
      <c r="F184" s="1312"/>
      <c r="G184" s="1315"/>
      <c r="H184" s="1326"/>
      <c r="J184" s="1200"/>
    </row>
    <row r="185" spans="1:10" ht="13.5" customHeight="1">
      <c r="A185" s="1313" t="s">
        <v>968</v>
      </c>
      <c r="B185" s="1313"/>
      <c r="C185" s="1313"/>
      <c r="D185" s="1313"/>
      <c r="E185" s="1313"/>
      <c r="F185" s="1313"/>
      <c r="G185" s="1316"/>
      <c r="H185" s="1327">
        <f>SUM(H183+H172+H166+H159+H145+H137+H108+H84+H73+H66+H62+H58+H51+H39+H28+H20+H180)</f>
        <v>1098683.43</v>
      </c>
      <c r="J185" s="1201"/>
    </row>
    <row r="186" spans="1:10" ht="12.75" customHeight="1">
      <c r="A186" s="1202" t="s">
        <v>1025</v>
      </c>
      <c r="B186" s="1203"/>
      <c r="C186" s="1203"/>
      <c r="D186" s="1203"/>
      <c r="E186" s="1204"/>
      <c r="F186" s="1204"/>
      <c r="G186" s="1205"/>
      <c r="H186" s="1206"/>
      <c r="J186" s="1204"/>
    </row>
    <row r="187" spans="1:10" ht="12.75">
      <c r="A187" s="1207"/>
      <c r="B187" s="1204"/>
      <c r="C187" s="1208"/>
      <c r="D187" s="1209"/>
      <c r="E187" s="1204"/>
      <c r="F187" s="1204"/>
      <c r="G187" s="1205"/>
      <c r="H187" s="1206"/>
      <c r="J187" s="1204"/>
    </row>
    <row r="188" spans="1:10" ht="12.75">
      <c r="A188" s="1207"/>
      <c r="B188" s="1204"/>
      <c r="C188" s="1208"/>
      <c r="D188" s="1209"/>
      <c r="E188" s="1204"/>
      <c r="F188" s="1204"/>
      <c r="G188" s="1205"/>
      <c r="H188" s="1206"/>
      <c r="J188" s="1204"/>
    </row>
    <row r="189" spans="1:10" ht="12.75">
      <c r="A189" s="1207"/>
      <c r="B189" s="1204"/>
      <c r="C189" s="1208"/>
      <c r="D189" s="1209"/>
      <c r="E189" s="1204"/>
      <c r="F189" s="1204"/>
      <c r="G189" s="1205"/>
      <c r="H189" s="1206"/>
      <c r="J189" s="1204"/>
    </row>
    <row r="190" spans="1:10" ht="15.75" customHeight="1">
      <c r="A190" s="1210"/>
      <c r="B190" s="1211"/>
      <c r="C190" s="1211"/>
      <c r="D190" s="1211" t="s">
        <v>951</v>
      </c>
      <c r="E190" s="1212"/>
      <c r="F190" s="1211"/>
      <c r="G190" s="1213"/>
      <c r="H190" s="1212"/>
      <c r="J190" s="1211"/>
    </row>
    <row r="191" spans="1:10" ht="12.75">
      <c r="A191" s="1210"/>
      <c r="B191" s="1211"/>
      <c r="C191" s="1211"/>
      <c r="D191" s="1214" t="s">
        <v>952</v>
      </c>
      <c r="E191" s="1212"/>
      <c r="F191" s="1211"/>
      <c r="G191" s="1213"/>
      <c r="H191" s="1212"/>
      <c r="J191" s="1211"/>
    </row>
    <row r="192" spans="1:10" ht="13.5" thickBot="1">
      <c r="A192" s="1215"/>
      <c r="B192" s="1216"/>
      <c r="C192" s="1216"/>
      <c r="D192" s="1216"/>
      <c r="E192" s="1217"/>
      <c r="F192" s="1216"/>
      <c r="G192" s="1218"/>
      <c r="H192" s="1217"/>
      <c r="J192" s="1216"/>
    </row>
    <row r="193" spans="1:8" ht="12.75">
      <c r="A193" s="1328" t="s">
        <v>1126</v>
      </c>
      <c r="B193" s="1328"/>
      <c r="C193" s="1328"/>
      <c r="D193" s="1328"/>
      <c r="E193" s="1328"/>
      <c r="F193" s="1328"/>
      <c r="G193" s="1328"/>
      <c r="H193" s="1328"/>
    </row>
    <row r="194" spans="1:8" ht="12.75">
      <c r="A194" s="1329"/>
      <c r="B194" s="1329"/>
      <c r="C194" s="1329"/>
      <c r="D194" s="1329"/>
      <c r="E194" s="1329"/>
      <c r="F194" s="1329"/>
      <c r="G194" s="1329"/>
      <c r="H194" s="1329"/>
    </row>
  </sheetData>
  <sheetProtection password="CC3D" sheet="1" formatCells="0" formatColumns="0" formatRows="0" insertColumns="0" insertRows="0"/>
  <mergeCells count="19">
    <mergeCell ref="A193:H194"/>
    <mergeCell ref="J9:J12"/>
    <mergeCell ref="E1:H4"/>
    <mergeCell ref="A8:H8"/>
    <mergeCell ref="B6:D6"/>
    <mergeCell ref="A9:A12"/>
    <mergeCell ref="E9:E12"/>
    <mergeCell ref="B5:D5"/>
    <mergeCell ref="F9:F12"/>
    <mergeCell ref="C9:C12"/>
    <mergeCell ref="H9:H12"/>
    <mergeCell ref="D9:D12"/>
    <mergeCell ref="E5:H6"/>
    <mergeCell ref="B9:B12"/>
    <mergeCell ref="A186:D186"/>
    <mergeCell ref="A185:F185"/>
    <mergeCell ref="B154:C154"/>
    <mergeCell ref="G9:G12"/>
    <mergeCell ref="E7:H7"/>
  </mergeCells>
  <printOptions/>
  <pageMargins left="0.2362204724409449" right="0.15748031496062992" top="0.5905511811023623" bottom="0.7874015748031497" header="0.1968503937007874" footer="0.15748031496062992"/>
  <pageSetup horizontalDpi="300" verticalDpi="300" orientation="landscape" paperSize="9" scale="80" r:id="rId2"/>
  <headerFooter alignWithMargins="0">
    <oddFooter>&amp;C&amp;8Página &amp;P de &amp;N</oddFooter>
  </headerFooter>
  <rowBreaks count="6" manualBreakCount="6">
    <brk id="34" max="7" man="1"/>
    <brk id="54" max="7" man="1"/>
    <brk id="84" max="7" man="1"/>
    <brk id="108" max="7" man="1"/>
    <brk id="166" max="7" man="1"/>
    <brk id="180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32"/>
  <sheetViews>
    <sheetView showGridLines="0" view="pageBreakPreview" zoomScaleNormal="115" zoomScaleSheetLayoutView="100" zoomScalePageLayoutView="0" workbookViewId="0" topLeftCell="A16">
      <selection activeCell="F28" sqref="F28"/>
    </sheetView>
  </sheetViews>
  <sheetFormatPr defaultColWidth="9.140625" defaultRowHeight="12.75"/>
  <cols>
    <col min="1" max="1" width="11.00390625" style="454" bestFit="1" customWidth="1"/>
    <col min="2" max="2" width="40.421875" style="454" customWidth="1"/>
    <col min="3" max="3" width="11.7109375" style="463" customWidth="1"/>
    <col min="4" max="4" width="3.140625" style="485" bestFit="1" customWidth="1"/>
    <col min="5" max="5" width="11.00390625" style="454" bestFit="1" customWidth="1"/>
    <col min="6" max="6" width="34.421875" style="454" customWidth="1"/>
    <col min="7" max="16384" width="9.140625" style="454" customWidth="1"/>
  </cols>
  <sheetData>
    <row r="1" spans="1:8" s="441" customFormat="1" ht="15.75">
      <c r="A1" s="1090" t="s">
        <v>392</v>
      </c>
      <c r="B1" s="1090"/>
      <c r="C1" s="1090"/>
      <c r="D1" s="1090"/>
      <c r="E1" s="440"/>
      <c r="F1" s="440"/>
      <c r="H1" s="442"/>
    </row>
    <row r="2" spans="1:8" s="444" customFormat="1" ht="12.75">
      <c r="A2" s="443"/>
      <c r="B2" s="443"/>
      <c r="C2" s="443"/>
      <c r="D2" s="443"/>
      <c r="E2" s="443"/>
      <c r="F2" s="443"/>
      <c r="H2" s="445"/>
    </row>
    <row r="3" spans="1:5" s="447" customFormat="1" ht="12.75">
      <c r="A3" s="446" t="s">
        <v>393</v>
      </c>
      <c r="B3" s="1096" t="s">
        <v>414</v>
      </c>
      <c r="C3" s="1096"/>
      <c r="D3" s="1096"/>
      <c r="E3" s="443"/>
    </row>
    <row r="4" spans="1:5" s="447" customFormat="1" ht="12.75">
      <c r="A4" s="446" t="s">
        <v>394</v>
      </c>
      <c r="B4" s="1096" t="s">
        <v>415</v>
      </c>
      <c r="C4" s="1096"/>
      <c r="D4" s="1096"/>
      <c r="E4" s="443"/>
    </row>
    <row r="5" spans="1:5" s="447" customFormat="1" ht="12.75">
      <c r="A5" s="446" t="s">
        <v>395</v>
      </c>
      <c r="B5" s="491"/>
      <c r="C5" s="448"/>
      <c r="D5" s="449"/>
      <c r="E5" s="443"/>
    </row>
    <row r="6" spans="1:5" s="447" customFormat="1" ht="12.75">
      <c r="A6" s="450"/>
      <c r="B6" s="451"/>
      <c r="C6" s="448"/>
      <c r="D6" s="449"/>
      <c r="E6" s="443"/>
    </row>
    <row r="7" spans="1:5" s="453" customFormat="1" ht="12.75">
      <c r="A7" s="450"/>
      <c r="B7" s="451"/>
      <c r="C7" s="452"/>
      <c r="E7" s="443"/>
    </row>
    <row r="8" spans="1:4" ht="12.75">
      <c r="A8" s="1091" t="s">
        <v>396</v>
      </c>
      <c r="B8" s="1091"/>
      <c r="C8" s="1098"/>
      <c r="D8" s="1091"/>
    </row>
    <row r="9" spans="2:4" s="455" customFormat="1" ht="12.75">
      <c r="B9" s="456"/>
      <c r="C9" s="509"/>
      <c r="D9" s="457"/>
    </row>
    <row r="10" spans="2:4" ht="12.75">
      <c r="B10" s="458" t="s">
        <v>397</v>
      </c>
      <c r="C10" s="509"/>
      <c r="D10" s="457"/>
    </row>
    <row r="11" spans="2:4" ht="12.75">
      <c r="B11" s="459"/>
      <c r="C11" s="509"/>
      <c r="D11" s="457"/>
    </row>
    <row r="12" spans="1:4" ht="12.75">
      <c r="A12" s="1091" t="s">
        <v>398</v>
      </c>
      <c r="B12" s="1091"/>
      <c r="C12" s="1091"/>
      <c r="D12" s="1091"/>
    </row>
    <row r="13" spans="2:4" s="455" customFormat="1" ht="6">
      <c r="B13" s="460"/>
      <c r="C13" s="461"/>
      <c r="D13" s="462"/>
    </row>
    <row r="14" spans="2:4" ht="12.75">
      <c r="B14" s="458" t="s">
        <v>416</v>
      </c>
      <c r="C14" s="461"/>
      <c r="D14" s="462"/>
    </row>
    <row r="15" spans="2:6" ht="12.75">
      <c r="B15" s="463"/>
      <c r="D15" s="464"/>
      <c r="E15" s="463"/>
      <c r="F15" s="463"/>
    </row>
    <row r="16" spans="1:4" ht="12.75">
      <c r="A16" s="1091" t="s">
        <v>399</v>
      </c>
      <c r="B16" s="1091"/>
      <c r="C16" s="1091"/>
      <c r="D16" s="1091"/>
    </row>
    <row r="17" spans="2:4" s="455" customFormat="1" ht="6">
      <c r="B17" s="460"/>
      <c r="C17" s="461"/>
      <c r="D17" s="465"/>
    </row>
    <row r="18" spans="1:6" ht="12.75">
      <c r="A18" s="466"/>
      <c r="B18" s="467" t="s">
        <v>408</v>
      </c>
      <c r="C18" s="496">
        <v>0</v>
      </c>
      <c r="D18" s="468" t="s">
        <v>219</v>
      </c>
      <c r="F18" s="469"/>
    </row>
    <row r="19" spans="1:6" ht="12.75">
      <c r="A19" s="466"/>
      <c r="B19" s="467" t="s">
        <v>409</v>
      </c>
      <c r="C19" s="496">
        <v>1</v>
      </c>
      <c r="D19" s="468" t="s">
        <v>219</v>
      </c>
      <c r="F19" s="469"/>
    </row>
    <row r="20" spans="1:6" ht="12.75">
      <c r="A20" s="466"/>
      <c r="B20" s="467" t="s">
        <v>410</v>
      </c>
      <c r="C20" s="496">
        <v>1</v>
      </c>
      <c r="D20" s="468" t="s">
        <v>219</v>
      </c>
      <c r="F20" s="469"/>
    </row>
    <row r="21" spans="1:6" ht="12.75">
      <c r="A21" s="466"/>
      <c r="B21" s="467" t="s">
        <v>411</v>
      </c>
      <c r="C21" s="496">
        <v>0.6</v>
      </c>
      <c r="D21" s="468" t="s">
        <v>219</v>
      </c>
      <c r="F21" s="469"/>
    </row>
    <row r="22" spans="1:6" ht="12.75">
      <c r="A22" s="470"/>
      <c r="B22" s="471"/>
      <c r="C22" s="497"/>
      <c r="D22" s="472"/>
      <c r="E22" s="470"/>
      <c r="F22" s="469"/>
    </row>
    <row r="23" spans="1:6" ht="12.75">
      <c r="A23" s="466"/>
      <c r="B23" s="467" t="s">
        <v>412</v>
      </c>
      <c r="C23" s="496">
        <v>10.1</v>
      </c>
      <c r="D23" s="468" t="s">
        <v>219</v>
      </c>
      <c r="F23" s="469"/>
    </row>
    <row r="24" spans="3:4" ht="12.75">
      <c r="C24" s="473"/>
      <c r="D24" s="474"/>
    </row>
    <row r="25" spans="1:4" ht="12.75">
      <c r="A25" s="1091" t="s">
        <v>400</v>
      </c>
      <c r="B25" s="1091"/>
      <c r="C25" s="1091"/>
      <c r="D25" s="1091"/>
    </row>
    <row r="26" spans="2:4" s="455" customFormat="1" ht="6">
      <c r="B26" s="460"/>
      <c r="C26" s="475"/>
      <c r="D26" s="476"/>
    </row>
    <row r="27" spans="1:6" ht="12.75">
      <c r="A27" s="466"/>
      <c r="B27" s="477" t="s">
        <v>401</v>
      </c>
      <c r="C27" s="478">
        <v>10.65</v>
      </c>
      <c r="D27" s="479" t="s">
        <v>219</v>
      </c>
      <c r="F27" s="469"/>
    </row>
    <row r="28" spans="2:6" ht="12.75">
      <c r="B28" s="480" t="s">
        <v>402</v>
      </c>
      <c r="C28" s="496">
        <v>5</v>
      </c>
      <c r="D28" s="468" t="s">
        <v>219</v>
      </c>
      <c r="F28" s="469"/>
    </row>
    <row r="29" spans="2:6" ht="12.75">
      <c r="B29" s="480" t="s">
        <v>403</v>
      </c>
      <c r="C29" s="498">
        <v>3</v>
      </c>
      <c r="D29" s="481" t="s">
        <v>219</v>
      </c>
      <c r="F29" s="469"/>
    </row>
    <row r="30" spans="2:4" ht="12.75">
      <c r="B30" s="480" t="s">
        <v>404</v>
      </c>
      <c r="C30" s="498">
        <v>0.65</v>
      </c>
      <c r="D30" s="481" t="s">
        <v>219</v>
      </c>
    </row>
    <row r="31" spans="2:4" ht="12.75">
      <c r="B31" s="480" t="s">
        <v>405</v>
      </c>
      <c r="C31" s="498">
        <v>2</v>
      </c>
      <c r="D31" s="468" t="s">
        <v>219</v>
      </c>
    </row>
    <row r="32" ht="12.75">
      <c r="D32" s="464"/>
    </row>
    <row r="33" spans="1:4" ht="12.75">
      <c r="A33" s="1091" t="s">
        <v>406</v>
      </c>
      <c r="B33" s="1091"/>
      <c r="C33" s="1091"/>
      <c r="D33" s="1091"/>
    </row>
    <row r="34" spans="2:4" s="455" customFormat="1" ht="6">
      <c r="B34" s="460"/>
      <c r="C34" s="461"/>
      <c r="D34" s="462"/>
    </row>
    <row r="35" spans="2:6" ht="12.75">
      <c r="B35" s="473" t="s">
        <v>413</v>
      </c>
      <c r="C35" s="1092">
        <f>ROUND((((1+($C$18/100)+($C$20/100)+($C$19/100))*(1+($C$21/100))*(1+($C$23/100)))/(1-$C$27/100)-1),4)</f>
        <v>0.2644</v>
      </c>
      <c r="D35" s="1093"/>
      <c r="F35" s="482" t="str">
        <f>'[1]Auxiliar'!A17</f>
        <v>Atende</v>
      </c>
    </row>
    <row r="36" spans="2:6" ht="12.75">
      <c r="B36" s="463" t="s">
        <v>407</v>
      </c>
      <c r="C36" s="1094"/>
      <c r="D36" s="1095"/>
      <c r="F36" s="483"/>
    </row>
    <row r="37" ht="12.75">
      <c r="C37" s="484"/>
    </row>
    <row r="38" ht="12.75">
      <c r="A38" s="486"/>
    </row>
    <row r="39" ht="12.75">
      <c r="A39" s="486"/>
    </row>
    <row r="40" ht="12.75">
      <c r="A40" s="486"/>
    </row>
    <row r="41" spans="1:4" ht="12.75">
      <c r="A41" s="487"/>
      <c r="B41" s="487"/>
      <c r="C41" s="499"/>
      <c r="D41" s="488"/>
    </row>
    <row r="42" spans="2:4" ht="12.75">
      <c r="B42" s="489" t="s">
        <v>9</v>
      </c>
      <c r="C42" s="499"/>
      <c r="D42" s="488"/>
    </row>
    <row r="43" spans="2:4" ht="12.75">
      <c r="B43" s="490" t="s">
        <v>8</v>
      </c>
      <c r="C43" s="499"/>
      <c r="D43" s="488"/>
    </row>
    <row r="44" ht="12.75"/>
    <row r="45" ht="12.75"/>
    <row r="46" ht="12.75"/>
    <row r="47" ht="12.75"/>
    <row r="48" ht="12.75"/>
    <row r="232" ht="12.75">
      <c r="C232" s="510" t="s">
        <v>2</v>
      </c>
    </row>
  </sheetData>
  <sheetProtection selectLockedCells="1" autoFilter="0"/>
  <protectedRanges>
    <protectedRange sqref="C18:C21" name="Intervalo1"/>
    <protectedRange sqref="C22:C23 C28:C31" name="Intervalo2"/>
  </protectedRanges>
  <mergeCells count="9">
    <mergeCell ref="A1:D1"/>
    <mergeCell ref="A12:D12"/>
    <mergeCell ref="C35:D36"/>
    <mergeCell ref="B3:D3"/>
    <mergeCell ref="B4:D4"/>
    <mergeCell ref="A8:D8"/>
    <mergeCell ref="A16:D16"/>
    <mergeCell ref="A25:D25"/>
    <mergeCell ref="A33:D33"/>
  </mergeCells>
  <conditionalFormatting sqref="F35">
    <cfRule type="cellIs" priority="1" dxfId="0" operator="equal" stopIfTrue="1">
      <formula>"Atende"</formula>
    </cfRule>
  </conditionalFormatting>
  <dataValidations count="2">
    <dataValidation type="list" allowBlank="1" showInputMessage="1" showErrorMessage="1" sqref="B14">
      <formula1>"Edificações, Fornecimento de Materiais e Equipamentos, Redes de Água, Esgoto ou Correlatas, Rodovias e Ferrovias, Portuárias, Marítimas e Fluviais,"</formula1>
    </dataValidation>
    <dataValidation type="list" allowBlank="1" showInputMessage="1" showErrorMessage="1" sqref="B10">
      <formula1>"Com Desoneração, Sem Desoneração"</formula1>
    </dataValidation>
  </dataValidations>
  <printOptions horizontalCentered="1"/>
  <pageMargins left="0.7874015748031497" right="0.7874015748031497" top="1.5748031496062993" bottom="0.3937007874015748" header="0.5118110236220472" footer="0.5118110236220472"/>
  <pageSetup horizontalDpi="600" verticalDpi="600" orientation="portrait" paperSize="9" scale="12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AH7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3.28125" style="310" bestFit="1" customWidth="1"/>
    <col min="2" max="2" width="6.7109375" style="310" bestFit="1" customWidth="1"/>
    <col min="3" max="4" width="4.00390625" style="264" bestFit="1" customWidth="1"/>
    <col min="5" max="5" width="4.421875" style="264" bestFit="1" customWidth="1"/>
    <col min="6" max="6" width="7.421875" style="264" bestFit="1" customWidth="1"/>
    <col min="7" max="8" width="9.7109375" style="264" customWidth="1"/>
    <col min="9" max="9" width="7.8515625" style="264" bestFit="1" customWidth="1"/>
    <col min="10" max="10" width="7.421875" style="311" bestFit="1" customWidth="1"/>
    <col min="11" max="11" width="5.7109375" style="311" bestFit="1" customWidth="1"/>
    <col min="12" max="12" width="5.8515625" style="311" bestFit="1" customWidth="1"/>
    <col min="13" max="13" width="5.7109375" style="264" bestFit="1" customWidth="1"/>
    <col min="14" max="14" width="6.7109375" style="264" bestFit="1" customWidth="1"/>
    <col min="15" max="16" width="5.7109375" style="264" bestFit="1" customWidth="1"/>
    <col min="17" max="17" width="9.140625" style="312" customWidth="1"/>
    <col min="18" max="18" width="9.28125" style="313" bestFit="1" customWidth="1"/>
    <col min="19" max="19" width="9.140625" style="264" customWidth="1"/>
    <col min="20" max="20" width="7.7109375" style="264" bestFit="1" customWidth="1"/>
    <col min="21" max="21" width="10.28125" style="264" bestFit="1" customWidth="1"/>
    <col min="22" max="22" width="8.7109375" style="264" bestFit="1" customWidth="1"/>
    <col min="23" max="23" width="15.28125" style="264" bestFit="1" customWidth="1"/>
    <col min="24" max="24" width="9.28125" style="264" bestFit="1" customWidth="1"/>
    <col min="25" max="29" width="9.140625" style="264" customWidth="1"/>
    <col min="30" max="30" width="7.7109375" style="264" bestFit="1" customWidth="1"/>
    <col min="31" max="31" width="10.140625" style="264" bestFit="1" customWidth="1"/>
    <col min="32" max="32" width="8.421875" style="264" bestFit="1" customWidth="1"/>
    <col min="33" max="33" width="15.140625" style="264" customWidth="1"/>
    <col min="34" max="16384" width="9.140625" style="264" customWidth="1"/>
  </cols>
  <sheetData>
    <row r="1" spans="1:34" ht="18.75" thickBot="1">
      <c r="A1" s="1123" t="s">
        <v>372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4"/>
      <c r="P1" s="1125"/>
      <c r="Q1" s="261"/>
      <c r="R1" s="262"/>
      <c r="S1" s="263"/>
      <c r="T1" s="1110"/>
      <c r="U1" s="1110"/>
      <c r="V1" s="1110"/>
      <c r="W1" s="1110"/>
      <c r="X1" s="1110"/>
      <c r="Y1" s="263"/>
      <c r="Z1" s="263"/>
      <c r="AA1" s="263"/>
      <c r="AB1" s="263"/>
      <c r="AC1" s="263"/>
      <c r="AD1" s="1110"/>
      <c r="AE1" s="1110"/>
      <c r="AF1" s="1110"/>
      <c r="AG1" s="1110"/>
      <c r="AH1" s="1110"/>
    </row>
    <row r="2" spans="1:34" s="269" customFormat="1" ht="12.75">
      <c r="A2" s="1120" t="s">
        <v>258</v>
      </c>
      <c r="B2" s="1106" t="s">
        <v>77</v>
      </c>
      <c r="C2" s="1126" t="s">
        <v>259</v>
      </c>
      <c r="D2" s="1126"/>
      <c r="E2" s="1126"/>
      <c r="F2" s="1126"/>
      <c r="G2" s="1126"/>
      <c r="H2" s="265"/>
      <c r="I2" s="1100" t="s">
        <v>260</v>
      </c>
      <c r="J2" s="1101"/>
      <c r="K2" s="1101"/>
      <c r="L2" s="1101"/>
      <c r="M2" s="1101"/>
      <c r="N2" s="1102"/>
      <c r="O2" s="1111" t="s">
        <v>261</v>
      </c>
      <c r="P2" s="1112"/>
      <c r="Q2" s="266"/>
      <c r="R2" s="267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</row>
    <row r="3" spans="1:34" s="269" customFormat="1" ht="12.75">
      <c r="A3" s="1121"/>
      <c r="B3" s="1107"/>
      <c r="C3" s="1099" t="s">
        <v>239</v>
      </c>
      <c r="D3" s="1099"/>
      <c r="E3" s="1099"/>
      <c r="F3" s="1099"/>
      <c r="G3" s="1099" t="s">
        <v>262</v>
      </c>
      <c r="H3" s="1099" t="s">
        <v>263</v>
      </c>
      <c r="I3" s="1103" t="s">
        <v>264</v>
      </c>
      <c r="J3" s="1104"/>
      <c r="K3" s="1104"/>
      <c r="L3" s="1104"/>
      <c r="M3" s="1104"/>
      <c r="N3" s="1105"/>
      <c r="O3" s="1113"/>
      <c r="P3" s="1114"/>
      <c r="Q3" s="266"/>
      <c r="R3" s="267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</row>
    <row r="4" spans="1:34" s="273" customFormat="1" ht="12.75">
      <c r="A4" s="1121"/>
      <c r="B4" s="1107"/>
      <c r="C4" s="1099" t="s">
        <v>265</v>
      </c>
      <c r="D4" s="1099"/>
      <c r="E4" s="1099"/>
      <c r="F4" s="270" t="s">
        <v>266</v>
      </c>
      <c r="G4" s="1099"/>
      <c r="H4" s="1099"/>
      <c r="I4" s="270" t="s">
        <v>267</v>
      </c>
      <c r="J4" s="270" t="s">
        <v>268</v>
      </c>
      <c r="K4" s="1099" t="s">
        <v>269</v>
      </c>
      <c r="L4" s="1099"/>
      <c r="M4" s="1099" t="s">
        <v>270</v>
      </c>
      <c r="N4" s="1099"/>
      <c r="O4" s="1115"/>
      <c r="P4" s="1116"/>
      <c r="Q4" s="271"/>
      <c r="R4" s="272"/>
      <c r="T4" s="274"/>
      <c r="U4" s="275"/>
      <c r="V4" s="275"/>
      <c r="W4" s="275"/>
      <c r="X4" s="275"/>
      <c r="AD4" s="274"/>
      <c r="AE4" s="275"/>
      <c r="AF4" s="275"/>
      <c r="AG4" s="275"/>
      <c r="AH4" s="275"/>
    </row>
    <row r="5" spans="1:34" s="273" customFormat="1" ht="13.5" thickBot="1">
      <c r="A5" s="1122"/>
      <c r="B5" s="1108"/>
      <c r="C5" s="276" t="s">
        <v>271</v>
      </c>
      <c r="D5" s="276" t="s">
        <v>272</v>
      </c>
      <c r="E5" s="276" t="s">
        <v>273</v>
      </c>
      <c r="F5" s="277" t="s">
        <v>274</v>
      </c>
      <c r="G5" s="1109"/>
      <c r="H5" s="1109"/>
      <c r="I5" s="278" t="s">
        <v>275</v>
      </c>
      <c r="J5" s="278" t="s">
        <v>275</v>
      </c>
      <c r="K5" s="278" t="s">
        <v>276</v>
      </c>
      <c r="L5" s="278" t="s">
        <v>277</v>
      </c>
      <c r="M5" s="278" t="s">
        <v>276</v>
      </c>
      <c r="N5" s="278" t="s">
        <v>277</v>
      </c>
      <c r="O5" s="276" t="s">
        <v>278</v>
      </c>
      <c r="P5" s="279" t="s">
        <v>279</v>
      </c>
      <c r="Q5" s="271"/>
      <c r="R5" s="272"/>
      <c r="T5" s="274"/>
      <c r="U5" s="275"/>
      <c r="V5" s="275"/>
      <c r="W5" s="275"/>
      <c r="X5" s="275"/>
      <c r="AD5" s="274"/>
      <c r="AE5" s="275"/>
      <c r="AF5" s="275"/>
      <c r="AG5" s="275"/>
      <c r="AH5" s="275"/>
    </row>
    <row r="6" spans="1:34" s="289" customFormat="1" ht="11.25" customHeight="1">
      <c r="A6" s="280" t="s">
        <v>280</v>
      </c>
      <c r="B6" s="281" t="s">
        <v>281</v>
      </c>
      <c r="C6" s="282">
        <v>1</v>
      </c>
      <c r="D6" s="282">
        <v>1</v>
      </c>
      <c r="E6" s="282">
        <v>0.12</v>
      </c>
      <c r="F6" s="282">
        <v>0.4</v>
      </c>
      <c r="G6" s="283">
        <f>(C6*D6*E6)+(C6*D6*F6)</f>
        <v>0.52</v>
      </c>
      <c r="H6" s="283">
        <f>G6*B6</f>
        <v>3.64</v>
      </c>
      <c r="I6" s="284">
        <v>8</v>
      </c>
      <c r="J6" s="284">
        <v>8</v>
      </c>
      <c r="K6" s="285">
        <f>J6*D6+I6*C6</f>
        <v>16</v>
      </c>
      <c r="L6" s="286">
        <f>K6*R6</f>
        <v>9.984</v>
      </c>
      <c r="M6" s="285">
        <f>K6*B6</f>
        <v>112</v>
      </c>
      <c r="N6" s="286">
        <f>L6*B6</f>
        <v>69.888</v>
      </c>
      <c r="O6" s="282">
        <f>(C6*D6*E6)*B6</f>
        <v>0.84</v>
      </c>
      <c r="P6" s="287">
        <f>O6*0.025</f>
        <v>0.021</v>
      </c>
      <c r="Q6" s="288"/>
      <c r="R6" s="425">
        <v>0.624</v>
      </c>
      <c r="T6" s="290"/>
      <c r="X6" s="291"/>
      <c r="AD6" s="290"/>
      <c r="AH6" s="291"/>
    </row>
    <row r="7" spans="1:18" s="269" customFormat="1" ht="14.25" customHeight="1" thickBot="1">
      <c r="A7" s="1117" t="s">
        <v>282</v>
      </c>
      <c r="B7" s="1118"/>
      <c r="C7" s="1119"/>
      <c r="D7" s="1119"/>
      <c r="E7" s="304" t="s">
        <v>283</v>
      </c>
      <c r="F7" s="304" t="s">
        <v>283</v>
      </c>
      <c r="G7" s="305" t="s">
        <v>283</v>
      </c>
      <c r="H7" s="306">
        <f>SUM(H6:H6)</f>
        <v>3.64</v>
      </c>
      <c r="I7" s="307" t="s">
        <v>283</v>
      </c>
      <c r="J7" s="307" t="s">
        <v>283</v>
      </c>
      <c r="K7" s="306" t="s">
        <v>283</v>
      </c>
      <c r="L7" s="305" t="s">
        <v>283</v>
      </c>
      <c r="M7" s="306">
        <f>SUM(M6:M6)</f>
        <v>112</v>
      </c>
      <c r="N7" s="306">
        <f>SUM(N6:N6)</f>
        <v>69.888</v>
      </c>
      <c r="O7" s="306">
        <f>SUM(O6:O6)</f>
        <v>0.84</v>
      </c>
      <c r="P7" s="306">
        <f>SUM(P6:P6)</f>
        <v>0.021</v>
      </c>
      <c r="Q7" s="308"/>
      <c r="R7" s="309"/>
    </row>
  </sheetData>
  <sheetProtection selectLockedCells="1" selectUnlockedCells="1"/>
  <mergeCells count="16">
    <mergeCell ref="AD1:AH1"/>
    <mergeCell ref="O2:P4"/>
    <mergeCell ref="K4:L4"/>
    <mergeCell ref="A7:D7"/>
    <mergeCell ref="A2:A5"/>
    <mergeCell ref="A1:P1"/>
    <mergeCell ref="T1:X1"/>
    <mergeCell ref="G3:G5"/>
    <mergeCell ref="C3:F3"/>
    <mergeCell ref="C2:G2"/>
    <mergeCell ref="C4:E4"/>
    <mergeCell ref="I2:N2"/>
    <mergeCell ref="I3:N3"/>
    <mergeCell ref="B2:B5"/>
    <mergeCell ref="H3:H5"/>
    <mergeCell ref="M4:N4"/>
  </mergeCells>
  <printOptions/>
  <pageMargins left="0.4330708661417323" right="0.15748031496062992" top="0.5118110236220472" bottom="0.31496062992125984" header="0.2362204724409449" footer="0.2362204724409449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AG30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3.28125" style="310" bestFit="1" customWidth="1"/>
    <col min="2" max="3" width="3.57421875" style="264" bestFit="1" customWidth="1"/>
    <col min="4" max="4" width="5.28125" style="264" bestFit="1" customWidth="1"/>
    <col min="5" max="5" width="7.8515625" style="264" customWidth="1"/>
    <col min="6" max="6" width="9.28125" style="264" bestFit="1" customWidth="1"/>
    <col min="7" max="7" width="7.7109375" style="264" customWidth="1"/>
    <col min="8" max="8" width="6.57421875" style="264" bestFit="1" customWidth="1"/>
    <col min="9" max="9" width="5.7109375" style="264" bestFit="1" customWidth="1"/>
    <col min="10" max="10" width="9.28125" style="311" bestFit="1" customWidth="1"/>
    <col min="11" max="11" width="7.00390625" style="264" bestFit="1" customWidth="1"/>
    <col min="12" max="13" width="6.57421875" style="264" bestFit="1" customWidth="1"/>
    <col min="14" max="15" width="5.7109375" style="264" bestFit="1" customWidth="1"/>
    <col min="16" max="16" width="9.140625" style="312" customWidth="1"/>
    <col min="17" max="17" width="9.140625" style="313" customWidth="1"/>
    <col min="18" max="18" width="9.140625" style="264" customWidth="1"/>
    <col min="19" max="19" width="7.7109375" style="264" bestFit="1" customWidth="1"/>
    <col min="20" max="20" width="10.28125" style="264" bestFit="1" customWidth="1"/>
    <col min="21" max="21" width="8.7109375" style="264" bestFit="1" customWidth="1"/>
    <col min="22" max="22" width="15.28125" style="264" bestFit="1" customWidth="1"/>
    <col min="23" max="23" width="9.28125" style="264" bestFit="1" customWidth="1"/>
    <col min="24" max="28" width="9.140625" style="264" customWidth="1"/>
    <col min="29" max="29" width="7.7109375" style="264" bestFit="1" customWidth="1"/>
    <col min="30" max="30" width="10.140625" style="264" bestFit="1" customWidth="1"/>
    <col min="31" max="31" width="8.421875" style="264" bestFit="1" customWidth="1"/>
    <col min="32" max="32" width="15.140625" style="264" customWidth="1"/>
    <col min="33" max="16384" width="9.140625" style="264" customWidth="1"/>
  </cols>
  <sheetData>
    <row r="1" spans="1:33" s="317" customFormat="1" ht="18.75" thickBot="1">
      <c r="A1" s="1123" t="s">
        <v>373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5"/>
      <c r="P1" s="314"/>
      <c r="Q1" s="315"/>
      <c r="R1" s="316"/>
      <c r="S1" s="1127"/>
      <c r="T1" s="1127"/>
      <c r="U1" s="1127"/>
      <c r="V1" s="1127"/>
      <c r="W1" s="1127"/>
      <c r="X1" s="316"/>
      <c r="Y1" s="316"/>
      <c r="Z1" s="316"/>
      <c r="AA1" s="316"/>
      <c r="AB1" s="316"/>
      <c r="AC1" s="1127"/>
      <c r="AD1" s="1127"/>
      <c r="AE1" s="1127"/>
      <c r="AF1" s="1127"/>
      <c r="AG1" s="1127"/>
    </row>
    <row r="2" spans="1:33" s="269" customFormat="1" ht="12.75">
      <c r="A2" s="1120" t="s">
        <v>258</v>
      </c>
      <c r="B2" s="1126" t="s">
        <v>259</v>
      </c>
      <c r="C2" s="1126"/>
      <c r="D2" s="1126"/>
      <c r="E2" s="1126"/>
      <c r="F2" s="1126" t="s">
        <v>260</v>
      </c>
      <c r="G2" s="1126"/>
      <c r="H2" s="1126"/>
      <c r="I2" s="1126"/>
      <c r="J2" s="1126"/>
      <c r="K2" s="1126"/>
      <c r="L2" s="1126"/>
      <c r="M2" s="1126"/>
      <c r="N2" s="1126" t="s">
        <v>261</v>
      </c>
      <c r="O2" s="1133"/>
      <c r="P2" s="266"/>
      <c r="Q2" s="267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</row>
    <row r="3" spans="1:33" s="269" customFormat="1" ht="12.75">
      <c r="A3" s="1121"/>
      <c r="B3" s="1099" t="s">
        <v>239</v>
      </c>
      <c r="C3" s="1099"/>
      <c r="D3" s="1099"/>
      <c r="E3" s="1128" t="s">
        <v>285</v>
      </c>
      <c r="F3" s="1099" t="s">
        <v>286</v>
      </c>
      <c r="G3" s="1099"/>
      <c r="H3" s="1099"/>
      <c r="I3" s="1099"/>
      <c r="J3" s="1103" t="s">
        <v>264</v>
      </c>
      <c r="K3" s="1104"/>
      <c r="L3" s="1104"/>
      <c r="M3" s="1105"/>
      <c r="N3" s="1099"/>
      <c r="O3" s="1134"/>
      <c r="P3" s="266"/>
      <c r="Q3" s="267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</row>
    <row r="4" spans="1:33" s="273" customFormat="1" ht="25.5">
      <c r="A4" s="1121"/>
      <c r="B4" s="1099" t="s">
        <v>287</v>
      </c>
      <c r="C4" s="1099"/>
      <c r="D4" s="270" t="s">
        <v>288</v>
      </c>
      <c r="E4" s="1129"/>
      <c r="F4" s="270" t="s">
        <v>289</v>
      </c>
      <c r="G4" s="1099" t="s">
        <v>290</v>
      </c>
      <c r="H4" s="1099" t="s">
        <v>291</v>
      </c>
      <c r="I4" s="1099"/>
      <c r="J4" s="270" t="s">
        <v>292</v>
      </c>
      <c r="K4" s="318" t="s">
        <v>290</v>
      </c>
      <c r="L4" s="1099" t="s">
        <v>293</v>
      </c>
      <c r="M4" s="1099"/>
      <c r="N4" s="1099"/>
      <c r="O4" s="1134"/>
      <c r="P4" s="271"/>
      <c r="Q4" s="272"/>
      <c r="S4" s="274"/>
      <c r="T4" s="275"/>
      <c r="U4" s="275"/>
      <c r="V4" s="275"/>
      <c r="W4" s="275"/>
      <c r="AC4" s="274"/>
      <c r="AD4" s="275"/>
      <c r="AE4" s="275"/>
      <c r="AF4" s="275"/>
      <c r="AG4" s="275"/>
    </row>
    <row r="5" spans="1:33" s="273" customFormat="1" ht="13.5" thickBot="1">
      <c r="A5" s="1122"/>
      <c r="B5" s="276" t="s">
        <v>271</v>
      </c>
      <c r="C5" s="276" t="s">
        <v>272</v>
      </c>
      <c r="D5" s="277">
        <v>1</v>
      </c>
      <c r="E5" s="1130"/>
      <c r="F5" s="276" t="s">
        <v>294</v>
      </c>
      <c r="G5" s="1109"/>
      <c r="H5" s="276" t="s">
        <v>276</v>
      </c>
      <c r="I5" s="276" t="s">
        <v>277</v>
      </c>
      <c r="J5" s="278" t="s">
        <v>275</v>
      </c>
      <c r="K5" s="276" t="s">
        <v>295</v>
      </c>
      <c r="L5" s="278" t="s">
        <v>276</v>
      </c>
      <c r="M5" s="278" t="s">
        <v>277</v>
      </c>
      <c r="N5" s="276" t="s">
        <v>278</v>
      </c>
      <c r="O5" s="279" t="s">
        <v>279</v>
      </c>
      <c r="P5" s="271"/>
      <c r="Q5" s="272"/>
      <c r="S5" s="274"/>
      <c r="T5" s="275"/>
      <c r="U5" s="275"/>
      <c r="V5" s="275"/>
      <c r="W5" s="275"/>
      <c r="AC5" s="274"/>
      <c r="AD5" s="275"/>
      <c r="AE5" s="275"/>
      <c r="AF5" s="275"/>
      <c r="AG5" s="275"/>
    </row>
    <row r="6" spans="1:17" ht="13.5">
      <c r="A6" s="319" t="s">
        <v>352</v>
      </c>
      <c r="B6" s="320">
        <v>0.3</v>
      </c>
      <c r="C6" s="320">
        <v>0.3</v>
      </c>
      <c r="D6" s="320">
        <v>1.5</v>
      </c>
      <c r="E6" s="321">
        <f aca="true" t="shared" si="0" ref="E6:E17">(D6)*(B6)*(C6)</f>
        <v>0.13499999999999998</v>
      </c>
      <c r="F6" s="322">
        <f aca="true" t="shared" si="1" ref="F6:F17">(D6)/0.1</f>
        <v>15</v>
      </c>
      <c r="G6" s="320">
        <f aca="true" t="shared" si="2" ref="G6:G17">B6*2+C6*2</f>
        <v>1.2</v>
      </c>
      <c r="H6" s="320">
        <f aca="true" t="shared" si="3" ref="H6:H17">G6*F6</f>
        <v>18</v>
      </c>
      <c r="I6" s="321">
        <f>H6*P6</f>
        <v>2.772</v>
      </c>
      <c r="J6" s="323">
        <v>8</v>
      </c>
      <c r="K6" s="320">
        <f aca="true" t="shared" si="4" ref="K6:K17">D6+0.6</f>
        <v>2.1</v>
      </c>
      <c r="L6" s="320">
        <f aca="true" t="shared" si="5" ref="L6:L17">(J6)*K6</f>
        <v>16.8</v>
      </c>
      <c r="M6" s="321">
        <f>L6*Q6</f>
        <v>10.4832</v>
      </c>
      <c r="N6" s="320">
        <f aca="true" t="shared" si="6" ref="N6:N17">(B6+C6+0.05)*2*(D6)</f>
        <v>1.9500000000000002</v>
      </c>
      <c r="O6" s="324">
        <f aca="true" t="shared" si="7" ref="O6:O17">N6*0.025</f>
        <v>0.04875000000000001</v>
      </c>
      <c r="P6" s="542">
        <v>0.154</v>
      </c>
      <c r="Q6" s="540">
        <v>0.624</v>
      </c>
    </row>
    <row r="7" spans="1:17" ht="13.5">
      <c r="A7" s="327" t="s">
        <v>353</v>
      </c>
      <c r="B7" s="328">
        <v>0.3</v>
      </c>
      <c r="C7" s="328">
        <v>0.3</v>
      </c>
      <c r="D7" s="328">
        <v>1.5</v>
      </c>
      <c r="E7" s="329">
        <f t="shared" si="0"/>
        <v>0.13499999999999998</v>
      </c>
      <c r="F7" s="330">
        <f t="shared" si="1"/>
        <v>15</v>
      </c>
      <c r="G7" s="328">
        <f t="shared" si="2"/>
        <v>1.2</v>
      </c>
      <c r="H7" s="328">
        <f t="shared" si="3"/>
        <v>18</v>
      </c>
      <c r="I7" s="329">
        <f>H7*P7</f>
        <v>2.772</v>
      </c>
      <c r="J7" s="331">
        <v>8</v>
      </c>
      <c r="K7" s="328">
        <f t="shared" si="4"/>
        <v>2.1</v>
      </c>
      <c r="L7" s="328">
        <f t="shared" si="5"/>
        <v>16.8</v>
      </c>
      <c r="M7" s="329">
        <f>L7*Q7</f>
        <v>10.4832</v>
      </c>
      <c r="N7" s="328">
        <f t="shared" si="6"/>
        <v>1.9500000000000002</v>
      </c>
      <c r="O7" s="332">
        <f t="shared" si="7"/>
        <v>0.04875000000000001</v>
      </c>
      <c r="P7" s="542">
        <v>0.154</v>
      </c>
      <c r="Q7" s="540">
        <v>0.624</v>
      </c>
    </row>
    <row r="8" spans="1:17" ht="13.5">
      <c r="A8" s="319" t="s">
        <v>354</v>
      </c>
      <c r="B8" s="320">
        <v>0.3</v>
      </c>
      <c r="C8" s="320">
        <v>0.3</v>
      </c>
      <c r="D8" s="320">
        <v>1.5</v>
      </c>
      <c r="E8" s="321">
        <f t="shared" si="0"/>
        <v>0.13499999999999998</v>
      </c>
      <c r="F8" s="322">
        <f t="shared" si="1"/>
        <v>15</v>
      </c>
      <c r="G8" s="320">
        <f t="shared" si="2"/>
        <v>1.2</v>
      </c>
      <c r="H8" s="320">
        <f t="shared" si="3"/>
        <v>18</v>
      </c>
      <c r="I8" s="321">
        <f>H8*P8</f>
        <v>2.772</v>
      </c>
      <c r="J8" s="323">
        <v>8</v>
      </c>
      <c r="K8" s="320">
        <f t="shared" si="4"/>
        <v>2.1</v>
      </c>
      <c r="L8" s="320">
        <f t="shared" si="5"/>
        <v>16.8</v>
      </c>
      <c r="M8" s="321">
        <f>L8*Q8</f>
        <v>10.4832</v>
      </c>
      <c r="N8" s="320">
        <f t="shared" si="6"/>
        <v>1.9500000000000002</v>
      </c>
      <c r="O8" s="324">
        <f t="shared" si="7"/>
        <v>0.04875000000000001</v>
      </c>
      <c r="P8" s="542">
        <v>0.154</v>
      </c>
      <c r="Q8" s="540">
        <v>0.624</v>
      </c>
    </row>
    <row r="9" spans="1:17" ht="13.5">
      <c r="A9" s="327" t="s">
        <v>355</v>
      </c>
      <c r="B9" s="328">
        <v>0.3</v>
      </c>
      <c r="C9" s="328">
        <v>0.3</v>
      </c>
      <c r="D9" s="328">
        <v>1.5</v>
      </c>
      <c r="E9" s="329">
        <f t="shared" si="0"/>
        <v>0.13499999999999998</v>
      </c>
      <c r="F9" s="330">
        <f t="shared" si="1"/>
        <v>15</v>
      </c>
      <c r="G9" s="328">
        <f t="shared" si="2"/>
        <v>1.2</v>
      </c>
      <c r="H9" s="328">
        <f t="shared" si="3"/>
        <v>18</v>
      </c>
      <c r="I9" s="329">
        <f>H9*P9</f>
        <v>2.772</v>
      </c>
      <c r="J9" s="331">
        <v>8</v>
      </c>
      <c r="K9" s="328">
        <f t="shared" si="4"/>
        <v>2.1</v>
      </c>
      <c r="L9" s="328">
        <f t="shared" si="5"/>
        <v>16.8</v>
      </c>
      <c r="M9" s="329">
        <f>L9*Q9</f>
        <v>10.4832</v>
      </c>
      <c r="N9" s="328">
        <f t="shared" si="6"/>
        <v>1.9500000000000002</v>
      </c>
      <c r="O9" s="332">
        <f t="shared" si="7"/>
        <v>0.04875000000000001</v>
      </c>
      <c r="P9" s="542">
        <v>0.154</v>
      </c>
      <c r="Q9" s="540">
        <v>0.624</v>
      </c>
    </row>
    <row r="10" spans="1:17" ht="13.5">
      <c r="A10" s="319" t="s">
        <v>356</v>
      </c>
      <c r="B10" s="320">
        <v>0.3</v>
      </c>
      <c r="C10" s="320">
        <v>0.3</v>
      </c>
      <c r="D10" s="320">
        <v>1.5</v>
      </c>
      <c r="E10" s="321">
        <f t="shared" si="0"/>
        <v>0.13499999999999998</v>
      </c>
      <c r="F10" s="322">
        <f t="shared" si="1"/>
        <v>15</v>
      </c>
      <c r="G10" s="320">
        <f t="shared" si="2"/>
        <v>1.2</v>
      </c>
      <c r="H10" s="320">
        <f t="shared" si="3"/>
        <v>18</v>
      </c>
      <c r="I10" s="321">
        <f aca="true" t="shared" si="8" ref="I10:I17">H10*P6</f>
        <v>2.772</v>
      </c>
      <c r="J10" s="323">
        <v>8</v>
      </c>
      <c r="K10" s="320">
        <f t="shared" si="4"/>
        <v>2.1</v>
      </c>
      <c r="L10" s="320">
        <f t="shared" si="5"/>
        <v>16.8</v>
      </c>
      <c r="M10" s="321">
        <f aca="true" t="shared" si="9" ref="M10:M17">L10*Q6</f>
        <v>10.4832</v>
      </c>
      <c r="N10" s="320">
        <f t="shared" si="6"/>
        <v>1.9500000000000002</v>
      </c>
      <c r="O10" s="324">
        <f t="shared" si="7"/>
        <v>0.04875000000000001</v>
      </c>
      <c r="P10" s="542">
        <v>0.154</v>
      </c>
      <c r="Q10" s="540">
        <v>0.624</v>
      </c>
    </row>
    <row r="11" spans="1:17" ht="13.5">
      <c r="A11" s="327" t="s">
        <v>357</v>
      </c>
      <c r="B11" s="328">
        <v>0.3</v>
      </c>
      <c r="C11" s="328">
        <v>0.3</v>
      </c>
      <c r="D11" s="328">
        <v>1.5</v>
      </c>
      <c r="E11" s="329">
        <f t="shared" si="0"/>
        <v>0.13499999999999998</v>
      </c>
      <c r="F11" s="330">
        <f t="shared" si="1"/>
        <v>15</v>
      </c>
      <c r="G11" s="328">
        <f t="shared" si="2"/>
        <v>1.2</v>
      </c>
      <c r="H11" s="328">
        <f t="shared" si="3"/>
        <v>18</v>
      </c>
      <c r="I11" s="329">
        <f t="shared" si="8"/>
        <v>2.772</v>
      </c>
      <c r="J11" s="331">
        <v>8</v>
      </c>
      <c r="K11" s="328">
        <f t="shared" si="4"/>
        <v>2.1</v>
      </c>
      <c r="L11" s="328">
        <f t="shared" si="5"/>
        <v>16.8</v>
      </c>
      <c r="M11" s="329">
        <f t="shared" si="9"/>
        <v>10.4832</v>
      </c>
      <c r="N11" s="328">
        <f t="shared" si="6"/>
        <v>1.9500000000000002</v>
      </c>
      <c r="O11" s="332">
        <f t="shared" si="7"/>
        <v>0.04875000000000001</v>
      </c>
      <c r="P11" s="542">
        <v>0.154</v>
      </c>
      <c r="Q11" s="540">
        <v>0.624</v>
      </c>
    </row>
    <row r="12" spans="1:17" ht="13.5">
      <c r="A12" s="319" t="s">
        <v>358</v>
      </c>
      <c r="B12" s="320">
        <v>0.3</v>
      </c>
      <c r="C12" s="320">
        <v>0.3</v>
      </c>
      <c r="D12" s="320">
        <v>1.5</v>
      </c>
      <c r="E12" s="321">
        <f t="shared" si="0"/>
        <v>0.13499999999999998</v>
      </c>
      <c r="F12" s="322">
        <f t="shared" si="1"/>
        <v>15</v>
      </c>
      <c r="G12" s="320">
        <f t="shared" si="2"/>
        <v>1.2</v>
      </c>
      <c r="H12" s="320">
        <f t="shared" si="3"/>
        <v>18</v>
      </c>
      <c r="I12" s="321">
        <f t="shared" si="8"/>
        <v>2.772</v>
      </c>
      <c r="J12" s="323">
        <v>8</v>
      </c>
      <c r="K12" s="320">
        <f t="shared" si="4"/>
        <v>2.1</v>
      </c>
      <c r="L12" s="320">
        <f t="shared" si="5"/>
        <v>16.8</v>
      </c>
      <c r="M12" s="321">
        <f t="shared" si="9"/>
        <v>10.4832</v>
      </c>
      <c r="N12" s="320">
        <f t="shared" si="6"/>
        <v>1.9500000000000002</v>
      </c>
      <c r="O12" s="324">
        <f t="shared" si="7"/>
        <v>0.04875000000000001</v>
      </c>
      <c r="P12" s="542">
        <v>0.154</v>
      </c>
      <c r="Q12" s="540">
        <v>0.624</v>
      </c>
    </row>
    <row r="13" spans="1:17" ht="13.5">
      <c r="A13" s="327" t="s">
        <v>359</v>
      </c>
      <c r="B13" s="328">
        <v>0.15</v>
      </c>
      <c r="C13" s="328">
        <v>0.3</v>
      </c>
      <c r="D13" s="328">
        <v>1.5</v>
      </c>
      <c r="E13" s="329">
        <f t="shared" si="0"/>
        <v>0.06749999999999999</v>
      </c>
      <c r="F13" s="330">
        <f t="shared" si="1"/>
        <v>15</v>
      </c>
      <c r="G13" s="328">
        <f t="shared" si="2"/>
        <v>0.8999999999999999</v>
      </c>
      <c r="H13" s="328">
        <f t="shared" si="3"/>
        <v>13.499999999999998</v>
      </c>
      <c r="I13" s="329">
        <f t="shared" si="8"/>
        <v>2.0789999999999997</v>
      </c>
      <c r="J13" s="331">
        <v>8</v>
      </c>
      <c r="K13" s="328">
        <f t="shared" si="4"/>
        <v>2.1</v>
      </c>
      <c r="L13" s="328">
        <f t="shared" si="5"/>
        <v>16.8</v>
      </c>
      <c r="M13" s="329">
        <f t="shared" si="9"/>
        <v>10.4832</v>
      </c>
      <c r="N13" s="328">
        <f t="shared" si="6"/>
        <v>1.4999999999999998</v>
      </c>
      <c r="O13" s="332">
        <f t="shared" si="7"/>
        <v>0.0375</v>
      </c>
      <c r="P13" s="542">
        <v>0.154</v>
      </c>
      <c r="Q13" s="540">
        <v>0.624</v>
      </c>
    </row>
    <row r="14" spans="1:17" ht="13.5">
      <c r="A14" s="319" t="s">
        <v>296</v>
      </c>
      <c r="B14" s="320">
        <v>0.15</v>
      </c>
      <c r="C14" s="320">
        <v>0.3</v>
      </c>
      <c r="D14" s="320">
        <v>1.5</v>
      </c>
      <c r="E14" s="321">
        <f t="shared" si="0"/>
        <v>0.06749999999999999</v>
      </c>
      <c r="F14" s="322">
        <f t="shared" si="1"/>
        <v>15</v>
      </c>
      <c r="G14" s="320">
        <f t="shared" si="2"/>
        <v>0.8999999999999999</v>
      </c>
      <c r="H14" s="320">
        <f t="shared" si="3"/>
        <v>13.499999999999998</v>
      </c>
      <c r="I14" s="321">
        <f t="shared" si="8"/>
        <v>2.0789999999999997</v>
      </c>
      <c r="J14" s="323">
        <v>8</v>
      </c>
      <c r="K14" s="320">
        <f t="shared" si="4"/>
        <v>2.1</v>
      </c>
      <c r="L14" s="320">
        <f t="shared" si="5"/>
        <v>16.8</v>
      </c>
      <c r="M14" s="321">
        <f t="shared" si="9"/>
        <v>10.4832</v>
      </c>
      <c r="N14" s="320">
        <f t="shared" si="6"/>
        <v>1.4999999999999998</v>
      </c>
      <c r="O14" s="324">
        <f t="shared" si="7"/>
        <v>0.0375</v>
      </c>
      <c r="P14" s="542">
        <v>0.154</v>
      </c>
      <c r="Q14" s="540">
        <v>0.624</v>
      </c>
    </row>
    <row r="15" spans="1:17" ht="13.5">
      <c r="A15" s="327" t="s">
        <v>297</v>
      </c>
      <c r="B15" s="328">
        <v>0.15</v>
      </c>
      <c r="C15" s="328">
        <v>0.3</v>
      </c>
      <c r="D15" s="328">
        <v>1.5</v>
      </c>
      <c r="E15" s="329">
        <f t="shared" si="0"/>
        <v>0.06749999999999999</v>
      </c>
      <c r="F15" s="330">
        <f t="shared" si="1"/>
        <v>15</v>
      </c>
      <c r="G15" s="328">
        <f t="shared" si="2"/>
        <v>0.8999999999999999</v>
      </c>
      <c r="H15" s="328">
        <f t="shared" si="3"/>
        <v>13.499999999999998</v>
      </c>
      <c r="I15" s="329">
        <f t="shared" si="8"/>
        <v>2.0789999999999997</v>
      </c>
      <c r="J15" s="331">
        <v>8</v>
      </c>
      <c r="K15" s="328">
        <f t="shared" si="4"/>
        <v>2.1</v>
      </c>
      <c r="L15" s="328">
        <f t="shared" si="5"/>
        <v>16.8</v>
      </c>
      <c r="M15" s="329">
        <f t="shared" si="9"/>
        <v>10.4832</v>
      </c>
      <c r="N15" s="328">
        <f t="shared" si="6"/>
        <v>1.4999999999999998</v>
      </c>
      <c r="O15" s="332">
        <f t="shared" si="7"/>
        <v>0.0375</v>
      </c>
      <c r="P15" s="542">
        <v>0.154</v>
      </c>
      <c r="Q15" s="540">
        <v>0.624</v>
      </c>
    </row>
    <row r="16" spans="1:17" ht="13.5">
      <c r="A16" s="319" t="s">
        <v>298</v>
      </c>
      <c r="B16" s="320">
        <v>0.3</v>
      </c>
      <c r="C16" s="320">
        <v>0.3</v>
      </c>
      <c r="D16" s="320">
        <v>1.5</v>
      </c>
      <c r="E16" s="321">
        <f t="shared" si="0"/>
        <v>0.13499999999999998</v>
      </c>
      <c r="F16" s="322">
        <f t="shared" si="1"/>
        <v>15</v>
      </c>
      <c r="G16" s="320">
        <f t="shared" si="2"/>
        <v>1.2</v>
      </c>
      <c r="H16" s="320">
        <f t="shared" si="3"/>
        <v>18</v>
      </c>
      <c r="I16" s="321">
        <f t="shared" si="8"/>
        <v>2.772</v>
      </c>
      <c r="J16" s="323">
        <v>8</v>
      </c>
      <c r="K16" s="320">
        <f t="shared" si="4"/>
        <v>2.1</v>
      </c>
      <c r="L16" s="320">
        <f t="shared" si="5"/>
        <v>16.8</v>
      </c>
      <c r="M16" s="321">
        <f t="shared" si="9"/>
        <v>10.4832</v>
      </c>
      <c r="N16" s="320">
        <f t="shared" si="6"/>
        <v>1.9500000000000002</v>
      </c>
      <c r="O16" s="324">
        <f t="shared" si="7"/>
        <v>0.04875000000000001</v>
      </c>
      <c r="P16" s="542">
        <v>0.154</v>
      </c>
      <c r="Q16" s="540">
        <v>0.624</v>
      </c>
    </row>
    <row r="17" spans="1:17" ht="13.5">
      <c r="A17" s="327" t="s">
        <v>299</v>
      </c>
      <c r="B17" s="328">
        <v>0.3</v>
      </c>
      <c r="C17" s="328">
        <v>0.3</v>
      </c>
      <c r="D17" s="328">
        <v>1.5</v>
      </c>
      <c r="E17" s="329">
        <f t="shared" si="0"/>
        <v>0.13499999999999998</v>
      </c>
      <c r="F17" s="330">
        <f t="shared" si="1"/>
        <v>15</v>
      </c>
      <c r="G17" s="328">
        <f t="shared" si="2"/>
        <v>1.2</v>
      </c>
      <c r="H17" s="328">
        <f t="shared" si="3"/>
        <v>18</v>
      </c>
      <c r="I17" s="329">
        <f t="shared" si="8"/>
        <v>2.772</v>
      </c>
      <c r="J17" s="331">
        <v>8</v>
      </c>
      <c r="K17" s="328">
        <f t="shared" si="4"/>
        <v>2.1</v>
      </c>
      <c r="L17" s="328">
        <f t="shared" si="5"/>
        <v>16.8</v>
      </c>
      <c r="M17" s="329">
        <f t="shared" si="9"/>
        <v>10.4832</v>
      </c>
      <c r="N17" s="328">
        <f t="shared" si="6"/>
        <v>1.9500000000000002</v>
      </c>
      <c r="O17" s="332">
        <f t="shared" si="7"/>
        <v>0.04875000000000001</v>
      </c>
      <c r="P17" s="542">
        <v>0.154</v>
      </c>
      <c r="Q17" s="540">
        <v>0.624</v>
      </c>
    </row>
    <row r="18" spans="1:17" ht="14.25" thickBot="1">
      <c r="A18" s="1131" t="s">
        <v>282</v>
      </c>
      <c r="B18" s="1132"/>
      <c r="C18" s="1132"/>
      <c r="D18" s="333" t="s">
        <v>283</v>
      </c>
      <c r="E18" s="334">
        <f>SUM(E6:E17)</f>
        <v>1.4174999999999998</v>
      </c>
      <c r="F18" s="334">
        <f>SUM(F6:F17)</f>
        <v>180</v>
      </c>
      <c r="G18" s="335" t="s">
        <v>283</v>
      </c>
      <c r="H18" s="334">
        <f>SUM(H6:H17)</f>
        <v>202.5</v>
      </c>
      <c r="I18" s="334">
        <f>SUM(I6:I17)</f>
        <v>31.184999999999995</v>
      </c>
      <c r="J18" s="334">
        <f>SUM(J6:J17)</f>
        <v>96</v>
      </c>
      <c r="K18" s="335" t="s">
        <v>283</v>
      </c>
      <c r="L18" s="334">
        <f>SUM(L6:L17)</f>
        <v>201.60000000000005</v>
      </c>
      <c r="M18" s="334">
        <f>SUM(M6:M17)</f>
        <v>125.79839999999997</v>
      </c>
      <c r="N18" s="334">
        <f>SUM(N6:N17)</f>
        <v>22.049999999999997</v>
      </c>
      <c r="O18" s="334">
        <f>SUM(O6:O17)</f>
        <v>0.5512499999999999</v>
      </c>
      <c r="P18" s="264"/>
      <c r="Q18" s="264"/>
    </row>
    <row r="19" spans="16:17" ht="13.5">
      <c r="P19" s="325"/>
      <c r="Q19" s="326"/>
    </row>
    <row r="20" spans="16:17" ht="13.5">
      <c r="P20" s="325"/>
      <c r="Q20" s="326"/>
    </row>
    <row r="21" spans="16:17" ht="13.5">
      <c r="P21" s="325"/>
      <c r="Q21" s="326"/>
    </row>
    <row r="22" spans="16:17" ht="13.5">
      <c r="P22" s="325"/>
      <c r="Q22" s="326"/>
    </row>
    <row r="23" spans="16:17" ht="13.5">
      <c r="P23" s="325"/>
      <c r="Q23" s="326"/>
    </row>
    <row r="24" spans="16:17" ht="13.5">
      <c r="P24" s="325"/>
      <c r="Q24" s="326"/>
    </row>
    <row r="25" spans="16:17" ht="13.5">
      <c r="P25" s="325"/>
      <c r="Q25" s="326"/>
    </row>
    <row r="26" spans="16:17" ht="13.5">
      <c r="P26" s="325"/>
      <c r="Q26" s="326"/>
    </row>
    <row r="27" spans="16:17" ht="13.5">
      <c r="P27" s="325"/>
      <c r="Q27" s="326"/>
    </row>
    <row r="28" spans="16:17" ht="13.5">
      <c r="P28" s="325"/>
      <c r="Q28" s="326"/>
    </row>
    <row r="29" spans="16:17" ht="13.5">
      <c r="P29" s="325"/>
      <c r="Q29" s="326"/>
    </row>
    <row r="30" spans="16:17" ht="13.5">
      <c r="P30" s="325"/>
      <c r="Q30" s="326"/>
    </row>
  </sheetData>
  <sheetProtection selectLockedCells="1" selectUnlockedCells="1"/>
  <mergeCells count="16">
    <mergeCell ref="A18:C18"/>
    <mergeCell ref="AC1:AG1"/>
    <mergeCell ref="N2:O4"/>
    <mergeCell ref="F3:I3"/>
    <mergeCell ref="L4:M4"/>
    <mergeCell ref="F2:M2"/>
    <mergeCell ref="A2:A5"/>
    <mergeCell ref="A1:O1"/>
    <mergeCell ref="B4:C4"/>
    <mergeCell ref="B3:D3"/>
    <mergeCell ref="B2:E2"/>
    <mergeCell ref="S1:W1"/>
    <mergeCell ref="E3:E5"/>
    <mergeCell ref="G4:G5"/>
    <mergeCell ref="H4:I4"/>
    <mergeCell ref="J3:M3"/>
  </mergeCells>
  <printOptions/>
  <pageMargins left="0.4330708661417323" right="0.15748031496062992" top="0.5118110236220472" bottom="0.31496062992125984" header="0.2362204724409449" footer="0.2362204724409449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AG13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3.28125" style="310" bestFit="1" customWidth="1"/>
    <col min="2" max="3" width="3.57421875" style="264" bestFit="1" customWidth="1"/>
    <col min="4" max="4" width="5.28125" style="264" bestFit="1" customWidth="1"/>
    <col min="5" max="5" width="7.8515625" style="264" customWidth="1"/>
    <col min="6" max="6" width="9.28125" style="264" bestFit="1" customWidth="1"/>
    <col min="7" max="7" width="7.7109375" style="264" customWidth="1"/>
    <col min="8" max="8" width="5.7109375" style="264" bestFit="1" customWidth="1"/>
    <col min="9" max="9" width="6.57421875" style="264" bestFit="1" customWidth="1"/>
    <col min="10" max="10" width="9.28125" style="311" bestFit="1" customWidth="1"/>
    <col min="11" max="11" width="7.00390625" style="264" bestFit="1" customWidth="1"/>
    <col min="12" max="12" width="5.7109375" style="264" bestFit="1" customWidth="1"/>
    <col min="13" max="13" width="6.57421875" style="264" bestFit="1" customWidth="1"/>
    <col min="14" max="15" width="5.7109375" style="264" bestFit="1" customWidth="1"/>
    <col min="16" max="16" width="9.140625" style="312" customWidth="1"/>
    <col min="17" max="17" width="9.140625" style="313" customWidth="1"/>
    <col min="18" max="18" width="9.140625" style="264" customWidth="1"/>
    <col min="19" max="19" width="7.7109375" style="264" bestFit="1" customWidth="1"/>
    <col min="20" max="20" width="10.28125" style="264" bestFit="1" customWidth="1"/>
    <col min="21" max="21" width="8.7109375" style="264" bestFit="1" customWidth="1"/>
    <col min="22" max="22" width="15.28125" style="264" bestFit="1" customWidth="1"/>
    <col min="23" max="23" width="9.28125" style="264" bestFit="1" customWidth="1"/>
    <col min="24" max="28" width="9.140625" style="264" customWidth="1"/>
    <col min="29" max="29" width="7.7109375" style="264" bestFit="1" customWidth="1"/>
    <col min="30" max="30" width="10.140625" style="264" bestFit="1" customWidth="1"/>
    <col min="31" max="31" width="8.421875" style="264" bestFit="1" customWidth="1"/>
    <col min="32" max="32" width="15.140625" style="264" customWidth="1"/>
    <col min="33" max="16384" width="9.140625" style="264" customWidth="1"/>
  </cols>
  <sheetData>
    <row r="1" spans="1:33" s="317" customFormat="1" ht="18.75" thickBot="1">
      <c r="A1" s="1123" t="s">
        <v>374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5"/>
      <c r="P1" s="314"/>
      <c r="Q1" s="315"/>
      <c r="R1" s="316"/>
      <c r="S1" s="1127"/>
      <c r="T1" s="1127"/>
      <c r="U1" s="1127"/>
      <c r="V1" s="1127"/>
      <c r="W1" s="1127"/>
      <c r="X1" s="316"/>
      <c r="Y1" s="316"/>
      <c r="Z1" s="316"/>
      <c r="AA1" s="316"/>
      <c r="AB1" s="316"/>
      <c r="AC1" s="1127"/>
      <c r="AD1" s="1127"/>
      <c r="AE1" s="1127"/>
      <c r="AF1" s="1127"/>
      <c r="AG1" s="1127"/>
    </row>
    <row r="2" spans="1:33" s="269" customFormat="1" ht="12.75">
      <c r="A2" s="1120" t="s">
        <v>258</v>
      </c>
      <c r="B2" s="1126" t="s">
        <v>259</v>
      </c>
      <c r="C2" s="1126"/>
      <c r="D2" s="1126"/>
      <c r="E2" s="1126"/>
      <c r="F2" s="1126" t="s">
        <v>260</v>
      </c>
      <c r="G2" s="1126"/>
      <c r="H2" s="1126"/>
      <c r="I2" s="1126"/>
      <c r="J2" s="1126"/>
      <c r="K2" s="1126"/>
      <c r="L2" s="1126"/>
      <c r="M2" s="1126"/>
      <c r="N2" s="1126" t="s">
        <v>261</v>
      </c>
      <c r="O2" s="1133"/>
      <c r="P2" s="266"/>
      <c r="Q2" s="267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</row>
    <row r="3" spans="1:33" s="269" customFormat="1" ht="12.75">
      <c r="A3" s="1121"/>
      <c r="B3" s="1099" t="s">
        <v>239</v>
      </c>
      <c r="C3" s="1099"/>
      <c r="D3" s="1099"/>
      <c r="E3" s="1128" t="s">
        <v>285</v>
      </c>
      <c r="F3" s="1099" t="s">
        <v>286</v>
      </c>
      <c r="G3" s="1099"/>
      <c r="H3" s="1099"/>
      <c r="I3" s="1099"/>
      <c r="J3" s="1103" t="s">
        <v>264</v>
      </c>
      <c r="K3" s="1104"/>
      <c r="L3" s="1104"/>
      <c r="M3" s="1105"/>
      <c r="N3" s="1099"/>
      <c r="O3" s="1134"/>
      <c r="P3" s="266"/>
      <c r="Q3" s="267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</row>
    <row r="4" spans="1:33" s="273" customFormat="1" ht="25.5">
      <c r="A4" s="1121"/>
      <c r="B4" s="1099" t="s">
        <v>287</v>
      </c>
      <c r="C4" s="1099"/>
      <c r="D4" s="270" t="s">
        <v>288</v>
      </c>
      <c r="E4" s="1129"/>
      <c r="F4" s="270" t="s">
        <v>289</v>
      </c>
      <c r="G4" s="1099" t="s">
        <v>290</v>
      </c>
      <c r="H4" s="1099" t="s">
        <v>291</v>
      </c>
      <c r="I4" s="1099"/>
      <c r="J4" s="270" t="s">
        <v>292</v>
      </c>
      <c r="K4" s="318" t="s">
        <v>290</v>
      </c>
      <c r="L4" s="1099" t="s">
        <v>293</v>
      </c>
      <c r="M4" s="1099"/>
      <c r="N4" s="1099"/>
      <c r="O4" s="1134"/>
      <c r="P4" s="271"/>
      <c r="Q4" s="272"/>
      <c r="S4" s="274"/>
      <c r="T4" s="275"/>
      <c r="U4" s="275"/>
      <c r="V4" s="275"/>
      <c r="W4" s="275"/>
      <c r="AC4" s="274"/>
      <c r="AD4" s="275"/>
      <c r="AE4" s="275"/>
      <c r="AF4" s="275"/>
      <c r="AG4" s="275"/>
    </row>
    <row r="5" spans="1:33" s="273" customFormat="1" ht="13.5" thickBot="1">
      <c r="A5" s="1122"/>
      <c r="B5" s="276" t="s">
        <v>271</v>
      </c>
      <c r="C5" s="276" t="s">
        <v>272</v>
      </c>
      <c r="D5" s="277">
        <v>1</v>
      </c>
      <c r="E5" s="1130"/>
      <c r="F5" s="276" t="s">
        <v>294</v>
      </c>
      <c r="G5" s="1109"/>
      <c r="H5" s="276" t="s">
        <v>276</v>
      </c>
      <c r="I5" s="276" t="s">
        <v>277</v>
      </c>
      <c r="J5" s="278" t="s">
        <v>275</v>
      </c>
      <c r="K5" s="276" t="s">
        <v>295</v>
      </c>
      <c r="L5" s="278" t="s">
        <v>276</v>
      </c>
      <c r="M5" s="278" t="s">
        <v>277</v>
      </c>
      <c r="N5" s="276" t="s">
        <v>278</v>
      </c>
      <c r="O5" s="279" t="s">
        <v>279</v>
      </c>
      <c r="P5" s="271"/>
      <c r="Q5" s="272"/>
      <c r="S5" s="274"/>
      <c r="T5" s="275"/>
      <c r="U5" s="275"/>
      <c r="V5" s="275"/>
      <c r="W5" s="275"/>
      <c r="AC5" s="274"/>
      <c r="AD5" s="275"/>
      <c r="AE5" s="275"/>
      <c r="AF5" s="275"/>
      <c r="AG5" s="275"/>
    </row>
    <row r="6" spans="1:33" s="269" customFormat="1" ht="13.5">
      <c r="A6" s="319" t="s">
        <v>352</v>
      </c>
      <c r="B6" s="320">
        <v>0.3</v>
      </c>
      <c r="C6" s="320">
        <v>0.3</v>
      </c>
      <c r="D6" s="320">
        <v>6.25</v>
      </c>
      <c r="E6" s="321">
        <f aca="true" t="shared" si="0" ref="E6:E12">(D6)*(B6)*(C6)</f>
        <v>0.5625</v>
      </c>
      <c r="F6" s="322">
        <f aca="true" t="shared" si="1" ref="F6:F12">(D6)/0.15</f>
        <v>41.66666666666667</v>
      </c>
      <c r="G6" s="320">
        <f aca="true" t="shared" si="2" ref="G6:G12">B6*2+C6*2</f>
        <v>1.2</v>
      </c>
      <c r="H6" s="320">
        <f aca="true" t="shared" si="3" ref="H6:H12">G6*F6</f>
        <v>50.00000000000001</v>
      </c>
      <c r="I6" s="321">
        <f aca="true" t="shared" si="4" ref="I6:I12">H6*P6</f>
        <v>7.700000000000001</v>
      </c>
      <c r="J6" s="323">
        <v>8</v>
      </c>
      <c r="K6" s="320">
        <f aca="true" t="shared" si="5" ref="K6:K12">D6+0.6</f>
        <v>6.85</v>
      </c>
      <c r="L6" s="320">
        <f aca="true" t="shared" si="6" ref="L6:L12">(J6)*K6</f>
        <v>54.8</v>
      </c>
      <c r="M6" s="321">
        <f aca="true" t="shared" si="7" ref="M6:M12">L6*Q6</f>
        <v>34.1952</v>
      </c>
      <c r="N6" s="320">
        <f aca="true" t="shared" si="8" ref="N6:N12">(B6+C6+0.05)*2*(D6)</f>
        <v>8.125</v>
      </c>
      <c r="O6" s="324">
        <f aca="true" t="shared" si="9" ref="O6:O12">N6*0.025</f>
        <v>0.203125</v>
      </c>
      <c r="P6" s="542">
        <v>0.154</v>
      </c>
      <c r="Q6" s="540">
        <v>0.624</v>
      </c>
      <c r="S6" s="336"/>
      <c r="W6" s="337"/>
      <c r="AC6" s="336"/>
      <c r="AG6" s="337"/>
    </row>
    <row r="7" spans="1:33" s="269" customFormat="1" ht="13.5">
      <c r="A7" s="327" t="s">
        <v>353</v>
      </c>
      <c r="B7" s="328">
        <v>0.3</v>
      </c>
      <c r="C7" s="328">
        <v>0.3</v>
      </c>
      <c r="D7" s="328">
        <v>6.25</v>
      </c>
      <c r="E7" s="329">
        <f t="shared" si="0"/>
        <v>0.5625</v>
      </c>
      <c r="F7" s="330">
        <f t="shared" si="1"/>
        <v>41.66666666666667</v>
      </c>
      <c r="G7" s="328">
        <f t="shared" si="2"/>
        <v>1.2</v>
      </c>
      <c r="H7" s="328">
        <f t="shared" si="3"/>
        <v>50.00000000000001</v>
      </c>
      <c r="I7" s="329">
        <f t="shared" si="4"/>
        <v>7.700000000000001</v>
      </c>
      <c r="J7" s="331">
        <v>8</v>
      </c>
      <c r="K7" s="328">
        <f t="shared" si="5"/>
        <v>6.85</v>
      </c>
      <c r="L7" s="328">
        <f t="shared" si="6"/>
        <v>54.8</v>
      </c>
      <c r="M7" s="329">
        <f t="shared" si="7"/>
        <v>34.1952</v>
      </c>
      <c r="N7" s="328">
        <f t="shared" si="8"/>
        <v>8.125</v>
      </c>
      <c r="O7" s="332">
        <f t="shared" si="9"/>
        <v>0.203125</v>
      </c>
      <c r="P7" s="542">
        <v>0.154</v>
      </c>
      <c r="Q7" s="540">
        <v>0.624</v>
      </c>
      <c r="S7" s="336"/>
      <c r="W7" s="337"/>
      <c r="AC7" s="336"/>
      <c r="AG7" s="337"/>
    </row>
    <row r="8" spans="1:33" s="269" customFormat="1" ht="13.5">
      <c r="A8" s="319" t="s">
        <v>354</v>
      </c>
      <c r="B8" s="320">
        <v>0.3</v>
      </c>
      <c r="C8" s="320">
        <v>0.3</v>
      </c>
      <c r="D8" s="320">
        <v>6.25</v>
      </c>
      <c r="E8" s="321">
        <f t="shared" si="0"/>
        <v>0.5625</v>
      </c>
      <c r="F8" s="322">
        <f t="shared" si="1"/>
        <v>41.66666666666667</v>
      </c>
      <c r="G8" s="320">
        <f t="shared" si="2"/>
        <v>1.2</v>
      </c>
      <c r="H8" s="320">
        <f t="shared" si="3"/>
        <v>50.00000000000001</v>
      </c>
      <c r="I8" s="321">
        <f t="shared" si="4"/>
        <v>7.700000000000001</v>
      </c>
      <c r="J8" s="323">
        <v>8</v>
      </c>
      <c r="K8" s="320">
        <f t="shared" si="5"/>
        <v>6.85</v>
      </c>
      <c r="L8" s="320">
        <f t="shared" si="6"/>
        <v>54.8</v>
      </c>
      <c r="M8" s="321">
        <f t="shared" si="7"/>
        <v>34.1952</v>
      </c>
      <c r="N8" s="320">
        <f t="shared" si="8"/>
        <v>8.125</v>
      </c>
      <c r="O8" s="324">
        <f t="shared" si="9"/>
        <v>0.203125</v>
      </c>
      <c r="P8" s="542">
        <v>0.154</v>
      </c>
      <c r="Q8" s="540">
        <v>0.624</v>
      </c>
      <c r="S8" s="336"/>
      <c r="W8" s="337"/>
      <c r="AC8" s="336"/>
      <c r="AG8" s="337"/>
    </row>
    <row r="9" spans="1:33" s="269" customFormat="1" ht="13.5">
      <c r="A9" s="327" t="s">
        <v>355</v>
      </c>
      <c r="B9" s="328">
        <v>0.3</v>
      </c>
      <c r="C9" s="328">
        <v>0.3</v>
      </c>
      <c r="D9" s="328">
        <v>6.25</v>
      </c>
      <c r="E9" s="329">
        <f t="shared" si="0"/>
        <v>0.5625</v>
      </c>
      <c r="F9" s="330">
        <f t="shared" si="1"/>
        <v>41.66666666666667</v>
      </c>
      <c r="G9" s="328">
        <f t="shared" si="2"/>
        <v>1.2</v>
      </c>
      <c r="H9" s="328">
        <f t="shared" si="3"/>
        <v>50.00000000000001</v>
      </c>
      <c r="I9" s="329">
        <f t="shared" si="4"/>
        <v>7.700000000000001</v>
      </c>
      <c r="J9" s="331">
        <v>8</v>
      </c>
      <c r="K9" s="328">
        <f t="shared" si="5"/>
        <v>6.85</v>
      </c>
      <c r="L9" s="328">
        <f t="shared" si="6"/>
        <v>54.8</v>
      </c>
      <c r="M9" s="329">
        <f t="shared" si="7"/>
        <v>34.1952</v>
      </c>
      <c r="N9" s="328">
        <f t="shared" si="8"/>
        <v>8.125</v>
      </c>
      <c r="O9" s="332">
        <f t="shared" si="9"/>
        <v>0.203125</v>
      </c>
      <c r="P9" s="542">
        <v>0.154</v>
      </c>
      <c r="Q9" s="540">
        <v>0.624</v>
      </c>
      <c r="S9" s="336"/>
      <c r="W9" s="337"/>
      <c r="AC9" s="336"/>
      <c r="AG9" s="337"/>
    </row>
    <row r="10" spans="1:17" ht="13.5">
      <c r="A10" s="319" t="s">
        <v>356</v>
      </c>
      <c r="B10" s="320">
        <v>0.3</v>
      </c>
      <c r="C10" s="320">
        <v>0.3</v>
      </c>
      <c r="D10" s="320">
        <v>6.25</v>
      </c>
      <c r="E10" s="321">
        <f t="shared" si="0"/>
        <v>0.5625</v>
      </c>
      <c r="F10" s="322">
        <f t="shared" si="1"/>
        <v>41.66666666666667</v>
      </c>
      <c r="G10" s="320">
        <f t="shared" si="2"/>
        <v>1.2</v>
      </c>
      <c r="H10" s="320">
        <f t="shared" si="3"/>
        <v>50.00000000000001</v>
      </c>
      <c r="I10" s="321">
        <f t="shared" si="4"/>
        <v>7.700000000000001</v>
      </c>
      <c r="J10" s="323">
        <v>8</v>
      </c>
      <c r="K10" s="320">
        <f t="shared" si="5"/>
        <v>6.85</v>
      </c>
      <c r="L10" s="320">
        <f t="shared" si="6"/>
        <v>54.8</v>
      </c>
      <c r="M10" s="321">
        <f t="shared" si="7"/>
        <v>34.1952</v>
      </c>
      <c r="N10" s="320">
        <f t="shared" si="8"/>
        <v>8.125</v>
      </c>
      <c r="O10" s="324">
        <f t="shared" si="9"/>
        <v>0.203125</v>
      </c>
      <c r="P10" s="542">
        <v>0.154</v>
      </c>
      <c r="Q10" s="540">
        <v>0.624</v>
      </c>
    </row>
    <row r="11" spans="1:17" ht="13.5">
      <c r="A11" s="327" t="s">
        <v>357</v>
      </c>
      <c r="B11" s="328">
        <v>0.3</v>
      </c>
      <c r="C11" s="328">
        <v>0.3</v>
      </c>
      <c r="D11" s="328">
        <v>6.25</v>
      </c>
      <c r="E11" s="329">
        <f t="shared" si="0"/>
        <v>0.5625</v>
      </c>
      <c r="F11" s="330">
        <f t="shared" si="1"/>
        <v>41.66666666666667</v>
      </c>
      <c r="G11" s="328">
        <f t="shared" si="2"/>
        <v>1.2</v>
      </c>
      <c r="H11" s="328">
        <f t="shared" si="3"/>
        <v>50.00000000000001</v>
      </c>
      <c r="I11" s="329">
        <f t="shared" si="4"/>
        <v>7.700000000000001</v>
      </c>
      <c r="J11" s="331">
        <v>8</v>
      </c>
      <c r="K11" s="328">
        <f t="shared" si="5"/>
        <v>6.85</v>
      </c>
      <c r="L11" s="328">
        <f t="shared" si="6"/>
        <v>54.8</v>
      </c>
      <c r="M11" s="329">
        <f t="shared" si="7"/>
        <v>34.1952</v>
      </c>
      <c r="N11" s="328">
        <f t="shared" si="8"/>
        <v>8.125</v>
      </c>
      <c r="O11" s="332">
        <f t="shared" si="9"/>
        <v>0.203125</v>
      </c>
      <c r="P11" s="542">
        <v>0.154</v>
      </c>
      <c r="Q11" s="540">
        <v>0.624</v>
      </c>
    </row>
    <row r="12" spans="1:17" ht="13.5">
      <c r="A12" s="319" t="s">
        <v>358</v>
      </c>
      <c r="B12" s="320">
        <v>0.3</v>
      </c>
      <c r="C12" s="320">
        <v>0.3</v>
      </c>
      <c r="D12" s="320">
        <v>6.25</v>
      </c>
      <c r="E12" s="321">
        <f t="shared" si="0"/>
        <v>0.5625</v>
      </c>
      <c r="F12" s="322">
        <f t="shared" si="1"/>
        <v>41.66666666666667</v>
      </c>
      <c r="G12" s="320">
        <f t="shared" si="2"/>
        <v>1.2</v>
      </c>
      <c r="H12" s="320">
        <f t="shared" si="3"/>
        <v>50.00000000000001</v>
      </c>
      <c r="I12" s="321">
        <f t="shared" si="4"/>
        <v>7.700000000000001</v>
      </c>
      <c r="J12" s="323">
        <v>8</v>
      </c>
      <c r="K12" s="320">
        <f t="shared" si="5"/>
        <v>6.85</v>
      </c>
      <c r="L12" s="320">
        <f t="shared" si="6"/>
        <v>54.8</v>
      </c>
      <c r="M12" s="321">
        <f t="shared" si="7"/>
        <v>34.1952</v>
      </c>
      <c r="N12" s="320">
        <f t="shared" si="8"/>
        <v>8.125</v>
      </c>
      <c r="O12" s="324">
        <f t="shared" si="9"/>
        <v>0.203125</v>
      </c>
      <c r="P12" s="542">
        <v>0.154</v>
      </c>
      <c r="Q12" s="540">
        <v>0.624</v>
      </c>
    </row>
    <row r="13" spans="1:17" ht="14.25" thickBot="1">
      <c r="A13" s="1131" t="s">
        <v>282</v>
      </c>
      <c r="B13" s="1132"/>
      <c r="C13" s="1132"/>
      <c r="D13" s="333" t="s">
        <v>283</v>
      </c>
      <c r="E13" s="334">
        <f>SUM(E6:E12)</f>
        <v>3.9375</v>
      </c>
      <c r="F13" s="338">
        <f>SUM(F6:F12)</f>
        <v>291.66666666666674</v>
      </c>
      <c r="G13" s="335" t="s">
        <v>283</v>
      </c>
      <c r="H13" s="339">
        <f>SUM(H6:H12)</f>
        <v>350.00000000000006</v>
      </c>
      <c r="I13" s="334">
        <f>SUM(I6:I12)</f>
        <v>53.90000000000001</v>
      </c>
      <c r="J13" s="338">
        <f>SUM(J6:J12)</f>
        <v>56</v>
      </c>
      <c r="K13" s="335" t="s">
        <v>283</v>
      </c>
      <c r="L13" s="335">
        <f>SUM(L6:L12)</f>
        <v>383.6</v>
      </c>
      <c r="M13" s="334">
        <f>SUM(M6:M12)</f>
        <v>239.3664</v>
      </c>
      <c r="N13" s="335">
        <f>SUM(N6:N12)</f>
        <v>56.875</v>
      </c>
      <c r="O13" s="340">
        <f>SUM(O6:O12)</f>
        <v>1.421875</v>
      </c>
      <c r="P13" s="308"/>
      <c r="Q13" s="309"/>
    </row>
  </sheetData>
  <sheetProtection selectLockedCells="1" selectUnlockedCells="1"/>
  <mergeCells count="16">
    <mergeCell ref="B2:E2"/>
    <mergeCell ref="S1:W1"/>
    <mergeCell ref="E3:E5"/>
    <mergeCell ref="G4:G5"/>
    <mergeCell ref="H4:I4"/>
    <mergeCell ref="J3:M3"/>
    <mergeCell ref="A13:C13"/>
    <mergeCell ref="AC1:AG1"/>
    <mergeCell ref="N2:O4"/>
    <mergeCell ref="F3:I3"/>
    <mergeCell ref="L4:M4"/>
    <mergeCell ref="F2:M2"/>
    <mergeCell ref="A2:A5"/>
    <mergeCell ref="A1:O1"/>
    <mergeCell ref="B4:C4"/>
    <mergeCell ref="B3:D3"/>
  </mergeCells>
  <printOptions/>
  <pageMargins left="0.4330708661417323" right="0.15748031496062992" top="0.5118110236220472" bottom="0.31496062992125984" header="0.2362204724409449" footer="0.2362204724409449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AJ23"/>
  <sheetViews>
    <sheetView view="pageBreakPreview" zoomScaleSheetLayoutView="100" zoomScalePageLayoutView="0" workbookViewId="0" topLeftCell="A1">
      <selection activeCell="U38" sqref="U38"/>
    </sheetView>
  </sheetViews>
  <sheetFormatPr defaultColWidth="9.140625" defaultRowHeight="12.75"/>
  <cols>
    <col min="1" max="1" width="4.8515625" style="310" bestFit="1" customWidth="1"/>
    <col min="2" max="3" width="5.00390625" style="264" customWidth="1"/>
    <col min="4" max="4" width="5.28125" style="264" customWidth="1"/>
    <col min="5" max="5" width="7.7109375" style="264" customWidth="1"/>
    <col min="6" max="6" width="9.421875" style="264" bestFit="1" customWidth="1"/>
    <col min="7" max="7" width="6.421875" style="264" bestFit="1" customWidth="1"/>
    <col min="8" max="8" width="5.7109375" style="264" bestFit="1" customWidth="1"/>
    <col min="9" max="9" width="6.57421875" style="264" bestFit="1" customWidth="1"/>
    <col min="10" max="10" width="5.8515625" style="264" bestFit="1" customWidth="1"/>
    <col min="11" max="11" width="5.00390625" style="311" customWidth="1"/>
    <col min="12" max="12" width="6.28125" style="264" bestFit="1" customWidth="1"/>
    <col min="13" max="13" width="7.140625" style="264" customWidth="1"/>
    <col min="14" max="14" width="7.421875" style="264" customWidth="1"/>
    <col min="15" max="15" width="5.7109375" style="264" bestFit="1" customWidth="1"/>
    <col min="16" max="16" width="6.57421875" style="264" bestFit="1" customWidth="1"/>
    <col min="17" max="17" width="4.8515625" style="264" bestFit="1" customWidth="1"/>
    <col min="18" max="18" width="5.7109375" style="264" bestFit="1" customWidth="1"/>
    <col min="19" max="21" width="9.421875" style="264" bestFit="1" customWidth="1"/>
    <col min="22" max="22" width="7.7109375" style="264" bestFit="1" customWidth="1"/>
    <col min="23" max="23" width="10.28125" style="264" bestFit="1" customWidth="1"/>
    <col min="24" max="24" width="8.7109375" style="264" bestFit="1" customWidth="1"/>
    <col min="25" max="25" width="15.28125" style="264" bestFit="1" customWidth="1"/>
    <col min="26" max="26" width="9.28125" style="264" bestFit="1" customWidth="1"/>
    <col min="27" max="31" width="9.140625" style="264" customWidth="1"/>
    <col min="32" max="32" width="7.7109375" style="264" bestFit="1" customWidth="1"/>
    <col min="33" max="33" width="10.140625" style="264" bestFit="1" customWidth="1"/>
    <col min="34" max="34" width="8.421875" style="264" bestFit="1" customWidth="1"/>
    <col min="35" max="35" width="15.140625" style="264" customWidth="1"/>
    <col min="36" max="16384" width="9.140625" style="264" customWidth="1"/>
  </cols>
  <sheetData>
    <row r="1" spans="1:36" s="317" customFormat="1" ht="18.75" thickBot="1">
      <c r="A1" s="1123" t="s">
        <v>371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4"/>
      <c r="P1" s="1124"/>
      <c r="Q1" s="1124"/>
      <c r="R1" s="1125"/>
      <c r="S1" s="316"/>
      <c r="T1" s="316"/>
      <c r="U1" s="316"/>
      <c r="V1" s="1127"/>
      <c r="W1" s="1127"/>
      <c r="X1" s="1127"/>
      <c r="Y1" s="1127"/>
      <c r="Z1" s="1127"/>
      <c r="AA1" s="316"/>
      <c r="AB1" s="316"/>
      <c r="AC1" s="316"/>
      <c r="AD1" s="316"/>
      <c r="AE1" s="316"/>
      <c r="AF1" s="1127"/>
      <c r="AG1" s="1127"/>
      <c r="AH1" s="1127"/>
      <c r="AI1" s="1127"/>
      <c r="AJ1" s="1127"/>
    </row>
    <row r="2" spans="1:36" s="269" customFormat="1" ht="12.75">
      <c r="A2" s="1120" t="s">
        <v>258</v>
      </c>
      <c r="B2" s="1126" t="s">
        <v>259</v>
      </c>
      <c r="C2" s="1126"/>
      <c r="D2" s="1126"/>
      <c r="E2" s="1126"/>
      <c r="F2" s="1126" t="s">
        <v>260</v>
      </c>
      <c r="G2" s="1126"/>
      <c r="H2" s="1126"/>
      <c r="I2" s="1126"/>
      <c r="J2" s="1126"/>
      <c r="K2" s="1126"/>
      <c r="L2" s="1126"/>
      <c r="M2" s="1126"/>
      <c r="N2" s="1126"/>
      <c r="O2" s="1126"/>
      <c r="P2" s="1126"/>
      <c r="Q2" s="1126" t="s">
        <v>261</v>
      </c>
      <c r="R2" s="1133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</row>
    <row r="3" spans="1:36" s="269" customFormat="1" ht="15.75" customHeight="1">
      <c r="A3" s="1121"/>
      <c r="B3" s="1099" t="s">
        <v>239</v>
      </c>
      <c r="C3" s="1099"/>
      <c r="D3" s="1099"/>
      <c r="E3" s="1128" t="s">
        <v>285</v>
      </c>
      <c r="F3" s="1099" t="s">
        <v>286</v>
      </c>
      <c r="G3" s="1099"/>
      <c r="H3" s="1099"/>
      <c r="I3" s="1099"/>
      <c r="J3" s="1103" t="s">
        <v>264</v>
      </c>
      <c r="K3" s="1104"/>
      <c r="L3" s="1104"/>
      <c r="M3" s="1104"/>
      <c r="N3" s="1104"/>
      <c r="O3" s="1104"/>
      <c r="P3" s="1105"/>
      <c r="Q3" s="1099"/>
      <c r="R3" s="1134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</row>
    <row r="4" spans="1:36" s="273" customFormat="1" ht="25.5" customHeight="1">
      <c r="A4" s="1121"/>
      <c r="B4" s="1103" t="s">
        <v>302</v>
      </c>
      <c r="C4" s="1104"/>
      <c r="D4" s="1104"/>
      <c r="E4" s="1129"/>
      <c r="F4" s="270" t="s">
        <v>289</v>
      </c>
      <c r="G4" s="1099" t="s">
        <v>290</v>
      </c>
      <c r="H4" s="1099" t="s">
        <v>291</v>
      </c>
      <c r="I4" s="1099"/>
      <c r="J4" s="1103" t="s">
        <v>292</v>
      </c>
      <c r="K4" s="1105"/>
      <c r="L4" s="1135" t="s">
        <v>290</v>
      </c>
      <c r="M4" s="1099" t="s">
        <v>303</v>
      </c>
      <c r="N4" s="1099"/>
      <c r="O4" s="1099" t="s">
        <v>304</v>
      </c>
      <c r="P4" s="1099"/>
      <c r="Q4" s="1099"/>
      <c r="R4" s="1134"/>
      <c r="T4" s="349"/>
      <c r="V4" s="274"/>
      <c r="W4" s="275"/>
      <c r="X4" s="275"/>
      <c r="Y4" s="275"/>
      <c r="Z4" s="275"/>
      <c r="AF4" s="274"/>
      <c r="AG4" s="275"/>
      <c r="AH4" s="275"/>
      <c r="AI4" s="275"/>
      <c r="AJ4" s="275"/>
    </row>
    <row r="5" spans="1:36" s="273" customFormat="1" ht="13.5" thickBot="1">
      <c r="A5" s="1122"/>
      <c r="B5" s="276" t="s">
        <v>305</v>
      </c>
      <c r="C5" s="276" t="s">
        <v>306</v>
      </c>
      <c r="D5" s="277" t="s">
        <v>307</v>
      </c>
      <c r="E5" s="1130"/>
      <c r="F5" s="276" t="s">
        <v>294</v>
      </c>
      <c r="G5" s="1109"/>
      <c r="H5" s="276" t="s">
        <v>276</v>
      </c>
      <c r="I5" s="276" t="s">
        <v>277</v>
      </c>
      <c r="J5" s="276" t="s">
        <v>308</v>
      </c>
      <c r="K5" s="278" t="s">
        <v>275</v>
      </c>
      <c r="L5" s="1136"/>
      <c r="M5" s="350" t="s">
        <v>276</v>
      </c>
      <c r="N5" s="350" t="s">
        <v>277</v>
      </c>
      <c r="O5" s="278" t="s">
        <v>276</v>
      </c>
      <c r="P5" s="278" t="s">
        <v>277</v>
      </c>
      <c r="Q5" s="276" t="s">
        <v>278</v>
      </c>
      <c r="R5" s="279" t="s">
        <v>279</v>
      </c>
      <c r="T5" s="349"/>
      <c r="V5" s="274"/>
      <c r="W5" s="275"/>
      <c r="X5" s="275"/>
      <c r="Y5" s="275"/>
      <c r="Z5" s="275"/>
      <c r="AF5" s="274"/>
      <c r="AG5" s="275"/>
      <c r="AH5" s="275"/>
      <c r="AI5" s="275"/>
      <c r="AJ5" s="275"/>
    </row>
    <row r="6" spans="1:36" s="353" customFormat="1" ht="11.25" customHeight="1">
      <c r="A6" s="341" t="s">
        <v>468</v>
      </c>
      <c r="B6" s="342">
        <v>0.15</v>
      </c>
      <c r="C6" s="342">
        <v>0.45</v>
      </c>
      <c r="D6" s="342">
        <v>12</v>
      </c>
      <c r="E6" s="343">
        <f>(D6)*(B6)*(C6)</f>
        <v>0.8099999999999999</v>
      </c>
      <c r="F6" s="344">
        <f>(D6)/0.15</f>
        <v>80</v>
      </c>
      <c r="G6" s="342">
        <f>B6*2+C6*2</f>
        <v>1.2</v>
      </c>
      <c r="H6" s="342">
        <f>G6*F6</f>
        <v>96</v>
      </c>
      <c r="I6" s="343">
        <f>H6*S6</f>
        <v>14.783999999999999</v>
      </c>
      <c r="J6" s="330">
        <v>2</v>
      </c>
      <c r="K6" s="331">
        <v>6</v>
      </c>
      <c r="L6" s="342">
        <f>D6</f>
        <v>12</v>
      </c>
      <c r="M6" s="342">
        <f>J6*(L6)</f>
        <v>24</v>
      </c>
      <c r="N6" s="343">
        <f>M6*U6</f>
        <v>9.432</v>
      </c>
      <c r="O6" s="342">
        <f>K6*(L6)</f>
        <v>72</v>
      </c>
      <c r="P6" s="343">
        <f>O6*T6</f>
        <v>44.928</v>
      </c>
      <c r="Q6" s="342">
        <f>(C6+0.025)*(D6)*2+(B6*D6)</f>
        <v>13.2</v>
      </c>
      <c r="R6" s="346">
        <f aca="true" t="shared" si="0" ref="R6:R15">Q6*0.025</f>
        <v>0.33</v>
      </c>
      <c r="S6" s="541">
        <v>0.154</v>
      </c>
      <c r="T6" s="540">
        <v>0.624</v>
      </c>
      <c r="U6" s="540">
        <v>0.393</v>
      </c>
      <c r="V6" s="351"/>
      <c r="W6" s="352"/>
      <c r="X6" s="352"/>
      <c r="Z6" s="354"/>
      <c r="AF6" s="351"/>
      <c r="AJ6" s="354"/>
    </row>
    <row r="7" spans="1:36" s="357" customFormat="1" ht="11.25" customHeight="1">
      <c r="A7" s="319" t="s">
        <v>469</v>
      </c>
      <c r="B7" s="320">
        <v>0.15</v>
      </c>
      <c r="C7" s="320">
        <v>0.45</v>
      </c>
      <c r="D7" s="320">
        <v>8</v>
      </c>
      <c r="E7" s="321">
        <f>(D7)*(B7)*(C7)</f>
        <v>0.54</v>
      </c>
      <c r="F7" s="322">
        <f>(D7)/0.15</f>
        <v>53.333333333333336</v>
      </c>
      <c r="G7" s="320">
        <f>B7*2+C7*2</f>
        <v>1.2</v>
      </c>
      <c r="H7" s="320">
        <f>G7*F7</f>
        <v>64</v>
      </c>
      <c r="I7" s="321">
        <f>H7*S7</f>
        <v>9.856</v>
      </c>
      <c r="J7" s="322">
        <v>2</v>
      </c>
      <c r="K7" s="323">
        <v>6</v>
      </c>
      <c r="L7" s="320">
        <f>D7</f>
        <v>8</v>
      </c>
      <c r="M7" s="320">
        <f>J7*(L7)</f>
        <v>16</v>
      </c>
      <c r="N7" s="321">
        <f>M7*U7</f>
        <v>6.288</v>
      </c>
      <c r="O7" s="320">
        <f>K7*(L7)</f>
        <v>48</v>
      </c>
      <c r="P7" s="321">
        <f>O7*T7</f>
        <v>29.951999999999998</v>
      </c>
      <c r="Q7" s="320">
        <f>(C7+0.025)*(D7)*2+(B7*D7)</f>
        <v>8.8</v>
      </c>
      <c r="R7" s="324">
        <f t="shared" si="0"/>
        <v>0.22000000000000003</v>
      </c>
      <c r="S7" s="538">
        <v>0.154</v>
      </c>
      <c r="T7" s="539">
        <v>0.624</v>
      </c>
      <c r="U7" s="540">
        <v>0.393</v>
      </c>
      <c r="V7" s="355"/>
      <c r="W7" s="356"/>
      <c r="X7" s="356"/>
      <c r="Z7" s="358"/>
      <c r="AF7" s="355"/>
      <c r="AJ7" s="358"/>
    </row>
    <row r="8" spans="1:36" s="353" customFormat="1" ht="11.25" customHeight="1">
      <c r="A8" s="327" t="s">
        <v>471</v>
      </c>
      <c r="B8" s="328">
        <v>0.15</v>
      </c>
      <c r="C8" s="328">
        <v>0.3</v>
      </c>
      <c r="D8" s="328">
        <v>2.7</v>
      </c>
      <c r="E8" s="329">
        <f aca="true" t="shared" si="1" ref="E8:E15">(D8)*(B8)*(C8)</f>
        <v>0.1215</v>
      </c>
      <c r="F8" s="330">
        <f aca="true" t="shared" si="2" ref="F8:F15">(D8)/0.15</f>
        <v>18.000000000000004</v>
      </c>
      <c r="G8" s="328">
        <f aca="true" t="shared" si="3" ref="G8:G15">B8*2+C8*2</f>
        <v>0.8999999999999999</v>
      </c>
      <c r="H8" s="328">
        <f aca="true" t="shared" si="4" ref="H8:H15">G8*F8</f>
        <v>16.200000000000003</v>
      </c>
      <c r="I8" s="329">
        <f aca="true" t="shared" si="5" ref="I8:I15">H8*S8</f>
        <v>2.4948000000000006</v>
      </c>
      <c r="J8" s="330">
        <v>2</v>
      </c>
      <c r="K8" s="331">
        <v>6</v>
      </c>
      <c r="L8" s="328">
        <f aca="true" t="shared" si="6" ref="L8:L15">D8</f>
        <v>2.7</v>
      </c>
      <c r="M8" s="328">
        <f aca="true" t="shared" si="7" ref="M8:M15">J8*(L8)</f>
        <v>5.4</v>
      </c>
      <c r="N8" s="329">
        <f aca="true" t="shared" si="8" ref="N8:N15">M8*U8</f>
        <v>2.1222000000000003</v>
      </c>
      <c r="O8" s="328">
        <f aca="true" t="shared" si="9" ref="O8:O15">K8*(L8)</f>
        <v>16.200000000000003</v>
      </c>
      <c r="P8" s="329">
        <f aca="true" t="shared" si="10" ref="P8:P15">O8*T8</f>
        <v>10.108800000000002</v>
      </c>
      <c r="Q8" s="328">
        <f aca="true" t="shared" si="11" ref="Q8:Q15">(C8+0.025)*(D8)*2+(B8*D8)</f>
        <v>2.16</v>
      </c>
      <c r="R8" s="332">
        <f t="shared" si="0"/>
        <v>0.054000000000000006</v>
      </c>
      <c r="S8" s="541">
        <v>0.154</v>
      </c>
      <c r="T8" s="540">
        <v>0.624</v>
      </c>
      <c r="U8" s="540">
        <v>0.393</v>
      </c>
      <c r="V8" s="351"/>
      <c r="W8" s="352"/>
      <c r="X8" s="352"/>
      <c r="Z8" s="354"/>
      <c r="AF8" s="351"/>
      <c r="AJ8" s="354"/>
    </row>
    <row r="9" spans="1:36" s="357" customFormat="1" ht="11.25" customHeight="1">
      <c r="A9" s="319" t="s">
        <v>309</v>
      </c>
      <c r="B9" s="320">
        <v>0.15</v>
      </c>
      <c r="C9" s="320">
        <v>0.45</v>
      </c>
      <c r="D9" s="320">
        <v>6.4</v>
      </c>
      <c r="E9" s="321">
        <f t="shared" si="1"/>
        <v>0.432</v>
      </c>
      <c r="F9" s="322">
        <f t="shared" si="2"/>
        <v>42.66666666666667</v>
      </c>
      <c r="G9" s="320">
        <f t="shared" si="3"/>
        <v>1.2</v>
      </c>
      <c r="H9" s="320">
        <f t="shared" si="4"/>
        <v>51.2</v>
      </c>
      <c r="I9" s="321">
        <f t="shared" si="5"/>
        <v>7.8848</v>
      </c>
      <c r="J9" s="322">
        <v>2</v>
      </c>
      <c r="K9" s="323">
        <v>6</v>
      </c>
      <c r="L9" s="320">
        <f t="shared" si="6"/>
        <v>6.4</v>
      </c>
      <c r="M9" s="320">
        <f t="shared" si="7"/>
        <v>12.8</v>
      </c>
      <c r="N9" s="321">
        <f t="shared" si="8"/>
        <v>5.0304</v>
      </c>
      <c r="O9" s="320">
        <f t="shared" si="9"/>
        <v>38.400000000000006</v>
      </c>
      <c r="P9" s="321">
        <f t="shared" si="10"/>
        <v>23.961600000000004</v>
      </c>
      <c r="Q9" s="320">
        <f t="shared" si="11"/>
        <v>7.040000000000001</v>
      </c>
      <c r="R9" s="324">
        <f t="shared" si="0"/>
        <v>0.17600000000000005</v>
      </c>
      <c r="S9" s="538">
        <v>0.154</v>
      </c>
      <c r="T9" s="539">
        <v>0.624</v>
      </c>
      <c r="U9" s="540">
        <v>0.393</v>
      </c>
      <c r="V9" s="355"/>
      <c r="W9" s="356"/>
      <c r="X9" s="356"/>
      <c r="Z9" s="358"/>
      <c r="AF9" s="355"/>
      <c r="AJ9" s="358"/>
    </row>
    <row r="10" spans="1:36" s="353" customFormat="1" ht="11.25" customHeight="1">
      <c r="A10" s="327" t="s">
        <v>383</v>
      </c>
      <c r="B10" s="328">
        <v>0.15</v>
      </c>
      <c r="C10" s="328">
        <v>0.45</v>
      </c>
      <c r="D10" s="328">
        <v>6.4</v>
      </c>
      <c r="E10" s="329">
        <f t="shared" si="1"/>
        <v>0.432</v>
      </c>
      <c r="F10" s="330">
        <f t="shared" si="2"/>
        <v>42.66666666666667</v>
      </c>
      <c r="G10" s="328">
        <f t="shared" si="3"/>
        <v>1.2</v>
      </c>
      <c r="H10" s="328">
        <f t="shared" si="4"/>
        <v>51.2</v>
      </c>
      <c r="I10" s="329">
        <f t="shared" si="5"/>
        <v>7.8848</v>
      </c>
      <c r="J10" s="330">
        <v>2</v>
      </c>
      <c r="K10" s="331">
        <v>6</v>
      </c>
      <c r="L10" s="328">
        <f t="shared" si="6"/>
        <v>6.4</v>
      </c>
      <c r="M10" s="328">
        <f t="shared" si="7"/>
        <v>12.8</v>
      </c>
      <c r="N10" s="329">
        <f t="shared" si="8"/>
        <v>5.0304</v>
      </c>
      <c r="O10" s="328">
        <f t="shared" si="9"/>
        <v>38.400000000000006</v>
      </c>
      <c r="P10" s="329">
        <f t="shared" si="10"/>
        <v>23.961600000000004</v>
      </c>
      <c r="Q10" s="328">
        <f t="shared" si="11"/>
        <v>7.040000000000001</v>
      </c>
      <c r="R10" s="332">
        <f t="shared" si="0"/>
        <v>0.17600000000000005</v>
      </c>
      <c r="S10" s="541">
        <v>0.154</v>
      </c>
      <c r="T10" s="540">
        <v>0.624</v>
      </c>
      <c r="U10" s="540">
        <v>0.393</v>
      </c>
      <c r="V10" s="351"/>
      <c r="W10" s="352"/>
      <c r="X10" s="352"/>
      <c r="Z10" s="354"/>
      <c r="AF10" s="351"/>
      <c r="AJ10" s="354"/>
    </row>
    <row r="11" spans="1:36" s="357" customFormat="1" ht="11.25" customHeight="1">
      <c r="A11" s="319" t="s">
        <v>384</v>
      </c>
      <c r="B11" s="320">
        <v>0.15</v>
      </c>
      <c r="C11" s="320">
        <v>0.45</v>
      </c>
      <c r="D11" s="320">
        <v>6.4</v>
      </c>
      <c r="E11" s="321">
        <f t="shared" si="1"/>
        <v>0.432</v>
      </c>
      <c r="F11" s="322">
        <f t="shared" si="2"/>
        <v>42.66666666666667</v>
      </c>
      <c r="G11" s="320">
        <f t="shared" si="3"/>
        <v>1.2</v>
      </c>
      <c r="H11" s="320">
        <f t="shared" si="4"/>
        <v>51.2</v>
      </c>
      <c r="I11" s="321">
        <f t="shared" si="5"/>
        <v>7.8848</v>
      </c>
      <c r="J11" s="322">
        <v>2</v>
      </c>
      <c r="K11" s="323">
        <v>6</v>
      </c>
      <c r="L11" s="320">
        <f t="shared" si="6"/>
        <v>6.4</v>
      </c>
      <c r="M11" s="320">
        <f t="shared" si="7"/>
        <v>12.8</v>
      </c>
      <c r="N11" s="321">
        <f t="shared" si="8"/>
        <v>5.0304</v>
      </c>
      <c r="O11" s="320">
        <f t="shared" si="9"/>
        <v>38.400000000000006</v>
      </c>
      <c r="P11" s="321">
        <f t="shared" si="10"/>
        <v>23.961600000000004</v>
      </c>
      <c r="Q11" s="320">
        <f t="shared" si="11"/>
        <v>7.040000000000001</v>
      </c>
      <c r="R11" s="324">
        <f t="shared" si="0"/>
        <v>0.17600000000000005</v>
      </c>
      <c r="S11" s="538">
        <v>0.154</v>
      </c>
      <c r="T11" s="539">
        <v>0.624</v>
      </c>
      <c r="U11" s="540">
        <v>0.393</v>
      </c>
      <c r="V11" s="355"/>
      <c r="W11" s="356"/>
      <c r="X11" s="356"/>
      <c r="Z11" s="358"/>
      <c r="AF11" s="355"/>
      <c r="AJ11" s="358"/>
    </row>
    <row r="12" spans="1:36" s="353" customFormat="1" ht="11.25" customHeight="1">
      <c r="A12" s="327" t="s">
        <v>385</v>
      </c>
      <c r="B12" s="328">
        <v>0.15</v>
      </c>
      <c r="C12" s="328">
        <v>0.45</v>
      </c>
      <c r="D12" s="328">
        <v>6.4</v>
      </c>
      <c r="E12" s="329">
        <f t="shared" si="1"/>
        <v>0.432</v>
      </c>
      <c r="F12" s="330">
        <f t="shared" si="2"/>
        <v>42.66666666666667</v>
      </c>
      <c r="G12" s="328">
        <f t="shared" si="3"/>
        <v>1.2</v>
      </c>
      <c r="H12" s="328">
        <f t="shared" si="4"/>
        <v>51.2</v>
      </c>
      <c r="I12" s="329">
        <f t="shared" si="5"/>
        <v>7.8848</v>
      </c>
      <c r="J12" s="330">
        <v>2</v>
      </c>
      <c r="K12" s="331">
        <v>6</v>
      </c>
      <c r="L12" s="328">
        <f t="shared" si="6"/>
        <v>6.4</v>
      </c>
      <c r="M12" s="328">
        <f t="shared" si="7"/>
        <v>12.8</v>
      </c>
      <c r="N12" s="329">
        <f t="shared" si="8"/>
        <v>5.0304</v>
      </c>
      <c r="O12" s="328">
        <f t="shared" si="9"/>
        <v>38.400000000000006</v>
      </c>
      <c r="P12" s="329">
        <f t="shared" si="10"/>
        <v>23.961600000000004</v>
      </c>
      <c r="Q12" s="328">
        <f t="shared" si="11"/>
        <v>7.040000000000001</v>
      </c>
      <c r="R12" s="332">
        <f t="shared" si="0"/>
        <v>0.17600000000000005</v>
      </c>
      <c r="S12" s="541">
        <v>0.154</v>
      </c>
      <c r="T12" s="540">
        <v>0.624</v>
      </c>
      <c r="U12" s="540">
        <v>0.393</v>
      </c>
      <c r="V12" s="351"/>
      <c r="W12" s="352"/>
      <c r="X12" s="352"/>
      <c r="Z12" s="354"/>
      <c r="AF12" s="351"/>
      <c r="AJ12" s="354"/>
    </row>
    <row r="13" spans="1:36" s="357" customFormat="1" ht="11.25" customHeight="1">
      <c r="A13" s="319" t="s">
        <v>386</v>
      </c>
      <c r="B13" s="320">
        <v>0.15</v>
      </c>
      <c r="C13" s="320">
        <v>0.45</v>
      </c>
      <c r="D13" s="320">
        <v>6.4</v>
      </c>
      <c r="E13" s="321">
        <f t="shared" si="1"/>
        <v>0.432</v>
      </c>
      <c r="F13" s="322">
        <f t="shared" si="2"/>
        <v>42.66666666666667</v>
      </c>
      <c r="G13" s="320">
        <f t="shared" si="3"/>
        <v>1.2</v>
      </c>
      <c r="H13" s="320">
        <f t="shared" si="4"/>
        <v>51.2</v>
      </c>
      <c r="I13" s="321">
        <f t="shared" si="5"/>
        <v>7.8848</v>
      </c>
      <c r="J13" s="322">
        <v>2</v>
      </c>
      <c r="K13" s="323">
        <v>6</v>
      </c>
      <c r="L13" s="320">
        <f t="shared" si="6"/>
        <v>6.4</v>
      </c>
      <c r="M13" s="320">
        <f t="shared" si="7"/>
        <v>12.8</v>
      </c>
      <c r="N13" s="321">
        <f t="shared" si="8"/>
        <v>5.0304</v>
      </c>
      <c r="O13" s="320">
        <f t="shared" si="9"/>
        <v>38.400000000000006</v>
      </c>
      <c r="P13" s="321">
        <f t="shared" si="10"/>
        <v>23.961600000000004</v>
      </c>
      <c r="Q13" s="320">
        <f t="shared" si="11"/>
        <v>7.040000000000001</v>
      </c>
      <c r="R13" s="324">
        <f t="shared" si="0"/>
        <v>0.17600000000000005</v>
      </c>
      <c r="S13" s="538">
        <v>0.154</v>
      </c>
      <c r="T13" s="539">
        <v>0.624</v>
      </c>
      <c r="U13" s="540">
        <v>0.393</v>
      </c>
      <c r="V13" s="355"/>
      <c r="W13" s="356"/>
      <c r="X13" s="356"/>
      <c r="Z13" s="358"/>
      <c r="AF13" s="355"/>
      <c r="AJ13" s="358"/>
    </row>
    <row r="14" spans="1:36" s="353" customFormat="1" ht="11.25" customHeight="1">
      <c r="A14" s="327" t="s">
        <v>387</v>
      </c>
      <c r="B14" s="328">
        <v>0.15</v>
      </c>
      <c r="C14" s="328">
        <v>0.3</v>
      </c>
      <c r="D14" s="328">
        <v>2.7</v>
      </c>
      <c r="E14" s="329">
        <f t="shared" si="1"/>
        <v>0.1215</v>
      </c>
      <c r="F14" s="330">
        <f t="shared" si="2"/>
        <v>18.000000000000004</v>
      </c>
      <c r="G14" s="328">
        <f t="shared" si="3"/>
        <v>0.8999999999999999</v>
      </c>
      <c r="H14" s="328">
        <f t="shared" si="4"/>
        <v>16.200000000000003</v>
      </c>
      <c r="I14" s="329">
        <f t="shared" si="5"/>
        <v>2.4948000000000006</v>
      </c>
      <c r="J14" s="330">
        <v>2</v>
      </c>
      <c r="K14" s="331">
        <v>4</v>
      </c>
      <c r="L14" s="328">
        <f t="shared" si="6"/>
        <v>2.7</v>
      </c>
      <c r="M14" s="328">
        <f t="shared" si="7"/>
        <v>5.4</v>
      </c>
      <c r="N14" s="329">
        <f t="shared" si="8"/>
        <v>2.1222000000000003</v>
      </c>
      <c r="O14" s="328">
        <f t="shared" si="9"/>
        <v>10.8</v>
      </c>
      <c r="P14" s="329">
        <f t="shared" si="10"/>
        <v>6.7392</v>
      </c>
      <c r="Q14" s="328">
        <f t="shared" si="11"/>
        <v>2.16</v>
      </c>
      <c r="R14" s="332">
        <f t="shared" si="0"/>
        <v>0.054000000000000006</v>
      </c>
      <c r="S14" s="541">
        <v>0.154</v>
      </c>
      <c r="T14" s="540">
        <v>0.624</v>
      </c>
      <c r="U14" s="540">
        <v>0.393</v>
      </c>
      <c r="V14" s="351"/>
      <c r="W14" s="352"/>
      <c r="X14" s="352"/>
      <c r="Z14" s="354"/>
      <c r="AF14" s="351"/>
      <c r="AJ14" s="354"/>
    </row>
    <row r="15" spans="1:36" s="357" customFormat="1" ht="11.25" customHeight="1">
      <c r="A15" s="319" t="s">
        <v>388</v>
      </c>
      <c r="B15" s="320">
        <v>0.15</v>
      </c>
      <c r="C15" s="320">
        <v>0.3</v>
      </c>
      <c r="D15" s="320">
        <v>2.2</v>
      </c>
      <c r="E15" s="321">
        <f t="shared" si="1"/>
        <v>0.099</v>
      </c>
      <c r="F15" s="322">
        <f t="shared" si="2"/>
        <v>14.666666666666668</v>
      </c>
      <c r="G15" s="320">
        <f t="shared" si="3"/>
        <v>0.8999999999999999</v>
      </c>
      <c r="H15" s="320">
        <f t="shared" si="4"/>
        <v>13.2</v>
      </c>
      <c r="I15" s="321">
        <f t="shared" si="5"/>
        <v>2.0328</v>
      </c>
      <c r="J15" s="322">
        <v>2</v>
      </c>
      <c r="K15" s="323">
        <v>4</v>
      </c>
      <c r="L15" s="320">
        <f t="shared" si="6"/>
        <v>2.2</v>
      </c>
      <c r="M15" s="320">
        <f t="shared" si="7"/>
        <v>4.4</v>
      </c>
      <c r="N15" s="321">
        <f t="shared" si="8"/>
        <v>1.7292000000000003</v>
      </c>
      <c r="O15" s="320">
        <f t="shared" si="9"/>
        <v>8.8</v>
      </c>
      <c r="P15" s="321">
        <f t="shared" si="10"/>
        <v>5.4912</v>
      </c>
      <c r="Q15" s="320">
        <f t="shared" si="11"/>
        <v>1.7600000000000002</v>
      </c>
      <c r="R15" s="324">
        <f t="shared" si="0"/>
        <v>0.04400000000000001</v>
      </c>
      <c r="S15" s="538">
        <v>0.154</v>
      </c>
      <c r="T15" s="539">
        <v>0.624</v>
      </c>
      <c r="U15" s="540">
        <v>0.393</v>
      </c>
      <c r="V15" s="355"/>
      <c r="W15" s="356"/>
      <c r="X15" s="356"/>
      <c r="Z15" s="358"/>
      <c r="AF15" s="355"/>
      <c r="AJ15" s="358"/>
    </row>
    <row r="16" spans="1:20" ht="14.25" thickBot="1">
      <c r="A16" s="1131" t="s">
        <v>282</v>
      </c>
      <c r="B16" s="1132"/>
      <c r="C16" s="1132"/>
      <c r="D16" s="333" t="s">
        <v>283</v>
      </c>
      <c r="E16" s="334">
        <f>SUM(E6:E15)</f>
        <v>3.8520000000000003</v>
      </c>
      <c r="F16" s="338">
        <f>SUM(F6:F15)</f>
        <v>397.3333333333334</v>
      </c>
      <c r="G16" s="335" t="s">
        <v>283</v>
      </c>
      <c r="H16" s="335">
        <f>SUM(H6:H15)</f>
        <v>461.5999999999999</v>
      </c>
      <c r="I16" s="334">
        <f>SUM(I6:I15)</f>
        <v>71.0864</v>
      </c>
      <c r="J16" s="334" t="s">
        <v>283</v>
      </c>
      <c r="K16" s="338" t="s">
        <v>283</v>
      </c>
      <c r="L16" s="335" t="s">
        <v>283</v>
      </c>
      <c r="M16" s="335">
        <f aca="true" t="shared" si="12" ref="M16:R16">SUM(M6:M15)</f>
        <v>119.2</v>
      </c>
      <c r="N16" s="334">
        <f t="shared" si="12"/>
        <v>46.845600000000005</v>
      </c>
      <c r="O16" s="335">
        <f t="shared" si="12"/>
        <v>347.80000000000007</v>
      </c>
      <c r="P16" s="334">
        <f t="shared" si="12"/>
        <v>217.02720000000002</v>
      </c>
      <c r="Q16" s="335">
        <f t="shared" si="12"/>
        <v>63.279999999999994</v>
      </c>
      <c r="R16" s="340">
        <f t="shared" si="12"/>
        <v>1.5820000000000005</v>
      </c>
      <c r="T16" s="359"/>
    </row>
    <row r="17" ht="13.5">
      <c r="T17" s="359"/>
    </row>
    <row r="18" ht="13.5">
      <c r="T18" s="359"/>
    </row>
    <row r="23" ht="13.5">
      <c r="R23" s="264" t="s">
        <v>470</v>
      </c>
    </row>
  </sheetData>
  <sheetProtection selectLockedCells="1" selectUnlockedCells="1"/>
  <mergeCells count="19">
    <mergeCell ref="B2:E2"/>
    <mergeCell ref="J3:P3"/>
    <mergeCell ref="G4:G5"/>
    <mergeCell ref="H4:I4"/>
    <mergeCell ref="B3:D3"/>
    <mergeCell ref="M4:N4"/>
    <mergeCell ref="E3:E5"/>
    <mergeCell ref="L4:L5"/>
    <mergeCell ref="B4:D4"/>
    <mergeCell ref="A16:C16"/>
    <mergeCell ref="AF1:AJ1"/>
    <mergeCell ref="Q2:R4"/>
    <mergeCell ref="F3:I3"/>
    <mergeCell ref="O4:P4"/>
    <mergeCell ref="F2:P2"/>
    <mergeCell ref="J4:K4"/>
    <mergeCell ref="A1:R1"/>
    <mergeCell ref="V1:Z1"/>
    <mergeCell ref="A2:A5"/>
  </mergeCells>
  <printOptions/>
  <pageMargins left="0.4330708661417323" right="0.15748031496062992" top="0.31" bottom="0.31496062992125984" header="0.2" footer="0.1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8"/>
  </sheetPr>
  <dimension ref="A1:M29"/>
  <sheetViews>
    <sheetView view="pageBreakPreview" zoomScaleSheetLayoutView="100" zoomScalePageLayoutView="0" workbookViewId="0" topLeftCell="A1">
      <selection activeCell="E10" sqref="E10:G10"/>
    </sheetView>
  </sheetViews>
  <sheetFormatPr defaultColWidth="9.140625" defaultRowHeight="12.75"/>
  <cols>
    <col min="1" max="1" width="19.8515625" style="0" customWidth="1"/>
    <col min="3" max="4" width="8.7109375" style="0" bestFit="1" customWidth="1"/>
    <col min="5" max="5" width="9.57421875" style="0" bestFit="1" customWidth="1"/>
    <col min="6" max="6" width="8.140625" style="0" bestFit="1" customWidth="1"/>
    <col min="8" max="8" width="7.57421875" style="0" customWidth="1"/>
    <col min="9" max="9" width="7.28125" style="0" customWidth="1"/>
    <col min="10" max="10" width="10.8515625" style="0" customWidth="1"/>
    <col min="11" max="11" width="9.7109375" style="0" customWidth="1"/>
  </cols>
  <sheetData>
    <row r="1" spans="1:11" ht="21" thickBot="1">
      <c r="A1" s="1137" t="s">
        <v>310</v>
      </c>
      <c r="B1" s="1137"/>
      <c r="C1" s="1137"/>
      <c r="D1" s="1137"/>
      <c r="E1" s="1137"/>
      <c r="F1" s="1137"/>
      <c r="G1" s="1137"/>
      <c r="H1" s="1137"/>
      <c r="I1" s="1137"/>
      <c r="J1" s="1137"/>
      <c r="K1" s="1137"/>
    </row>
    <row r="2" spans="1:11" ht="24" customHeight="1">
      <c r="A2" s="1144" t="s">
        <v>311</v>
      </c>
      <c r="B2" s="1145"/>
      <c r="C2" s="1145"/>
      <c r="D2" s="1145"/>
      <c r="E2" s="1145"/>
      <c r="F2" s="1145"/>
      <c r="G2" s="1145"/>
      <c r="H2" s="1146" t="s">
        <v>312</v>
      </c>
      <c r="I2" s="1146"/>
      <c r="J2" s="1147" t="s">
        <v>313</v>
      </c>
      <c r="K2" s="1140" t="s">
        <v>314</v>
      </c>
    </row>
    <row r="3" spans="1:11" ht="14.25">
      <c r="A3" s="360" t="s">
        <v>73</v>
      </c>
      <c r="B3" s="361" t="s">
        <v>315</v>
      </c>
      <c r="C3" s="361" t="s">
        <v>316</v>
      </c>
      <c r="D3" s="361" t="s">
        <v>317</v>
      </c>
      <c r="E3" s="361" t="s">
        <v>318</v>
      </c>
      <c r="F3" s="361" t="s">
        <v>319</v>
      </c>
      <c r="G3" s="361" t="s">
        <v>320</v>
      </c>
      <c r="H3" s="361" t="s">
        <v>128</v>
      </c>
      <c r="I3" s="361" t="s">
        <v>142</v>
      </c>
      <c r="J3" s="1148"/>
      <c r="K3" s="1141"/>
    </row>
    <row r="4" spans="1:11" ht="12.75">
      <c r="A4" s="362" t="s">
        <v>321</v>
      </c>
      <c r="B4" s="363" t="s">
        <v>283</v>
      </c>
      <c r="C4" s="364">
        <f>FUNDAÇÕES!M7</f>
        <v>112</v>
      </c>
      <c r="D4" s="363" t="s">
        <v>283</v>
      </c>
      <c r="E4" s="363" t="s">
        <v>283</v>
      </c>
      <c r="F4" s="364">
        <f>C4*F17</f>
        <v>69.888</v>
      </c>
      <c r="G4" s="363" t="s">
        <v>283</v>
      </c>
      <c r="H4" s="364">
        <f>FUNDAÇÕES!O7</f>
        <v>0.84</v>
      </c>
      <c r="I4" s="365">
        <f>H4*0.025</f>
        <v>0.021</v>
      </c>
      <c r="J4" s="366">
        <f>FUNDAÇÕES!H7</f>
        <v>3.64</v>
      </c>
      <c r="K4" s="367">
        <f>J4*5%+J4</f>
        <v>3.822</v>
      </c>
    </row>
    <row r="5" spans="1:11" ht="12.75">
      <c r="A5" s="362" t="s">
        <v>322</v>
      </c>
      <c r="B5" s="364">
        <f>ARRANQUE!H18</f>
        <v>202.5</v>
      </c>
      <c r="C5" s="364">
        <f>ARRANQUE!L18</f>
        <v>201.60000000000005</v>
      </c>
      <c r="D5" s="363" t="s">
        <v>283</v>
      </c>
      <c r="E5" s="363" t="s">
        <v>283</v>
      </c>
      <c r="F5" s="364">
        <f>C5*F17</f>
        <v>125.79840000000003</v>
      </c>
      <c r="G5" s="363" t="s">
        <v>283</v>
      </c>
      <c r="H5" s="364">
        <f>ARRANQUE!N18</f>
        <v>22.049999999999997</v>
      </c>
      <c r="I5" s="365">
        <f>H5*0.025</f>
        <v>0.5512499999999999</v>
      </c>
      <c r="J5" s="366">
        <f>ARRANQUE!E18</f>
        <v>1.4174999999999998</v>
      </c>
      <c r="K5" s="367">
        <f>J5*5%+J5</f>
        <v>1.4883749999999998</v>
      </c>
    </row>
    <row r="6" spans="1:11" ht="12.75">
      <c r="A6" s="362" t="s">
        <v>323</v>
      </c>
      <c r="B6" s="364">
        <f>'PILARES 1'!H13</f>
        <v>350.00000000000006</v>
      </c>
      <c r="C6" s="364">
        <f>'PILARES 1'!L13</f>
        <v>383.6</v>
      </c>
      <c r="D6" s="363" t="s">
        <v>283</v>
      </c>
      <c r="E6" s="364">
        <f>B6*E15</f>
        <v>53.900000000000006</v>
      </c>
      <c r="F6" s="364">
        <f>C6*F17</f>
        <v>239.36640000000003</v>
      </c>
      <c r="G6" s="363" t="s">
        <v>283</v>
      </c>
      <c r="H6" s="364">
        <f>'PILARES 1'!N13</f>
        <v>56.875</v>
      </c>
      <c r="I6" s="365">
        <f>H6*0.025</f>
        <v>1.421875</v>
      </c>
      <c r="J6" s="365">
        <f>'PILARES 1'!E13</f>
        <v>3.9375</v>
      </c>
      <c r="K6" s="367">
        <f>J6*5%+J6</f>
        <v>4.134375</v>
      </c>
    </row>
    <row r="7" spans="1:11" ht="12.75">
      <c r="A7" s="362" t="s">
        <v>324</v>
      </c>
      <c r="B7" s="364">
        <f>VIGAS!H16</f>
        <v>461.5999999999999</v>
      </c>
      <c r="C7" s="368">
        <f>VIGAS!O16</f>
        <v>347.80000000000007</v>
      </c>
      <c r="D7" s="368">
        <f>VIGAS!M16</f>
        <v>119.2</v>
      </c>
      <c r="E7" s="364">
        <f>B7*E15</f>
        <v>71.08639999999998</v>
      </c>
      <c r="F7" s="364">
        <f>C7*F17</f>
        <v>217.02720000000005</v>
      </c>
      <c r="G7" s="364">
        <f>D7*G18</f>
        <v>46.845600000000005</v>
      </c>
      <c r="H7" s="368">
        <f>VIGAS!Q16</f>
        <v>63.279999999999994</v>
      </c>
      <c r="I7" s="365">
        <f>H7*0.025</f>
        <v>1.5819999999999999</v>
      </c>
      <c r="J7" s="369">
        <f>VIGAS!E16</f>
        <v>3.8520000000000003</v>
      </c>
      <c r="K7" s="367">
        <f>J7*5%+J7</f>
        <v>4.0446</v>
      </c>
    </row>
    <row r="8" spans="1:11" ht="12.75">
      <c r="A8" s="362" t="s">
        <v>325</v>
      </c>
      <c r="B8" s="370">
        <f>SUM(B4:B7)</f>
        <v>1014.0999999999999</v>
      </c>
      <c r="C8" s="370">
        <f>SUM(C4:C7)</f>
        <v>1045</v>
      </c>
      <c r="D8" s="370">
        <f>SUM(D4:D7)</f>
        <v>119.2</v>
      </c>
      <c r="E8" s="363" t="s">
        <v>283</v>
      </c>
      <c r="F8" s="363" t="s">
        <v>283</v>
      </c>
      <c r="G8" s="363" t="s">
        <v>283</v>
      </c>
      <c r="H8" s="371">
        <f>SUM(H4:H7)</f>
        <v>143.045</v>
      </c>
      <c r="I8" s="372">
        <f>SUM(I4:I7)</f>
        <v>3.5761249999999998</v>
      </c>
      <c r="J8" s="373">
        <f>SUM(J4:J7)</f>
        <v>12.847000000000001</v>
      </c>
      <c r="K8" s="374">
        <f>J8*5%+J8</f>
        <v>13.489350000000002</v>
      </c>
    </row>
    <row r="9" spans="1:11" ht="12.75">
      <c r="A9" s="362" t="s">
        <v>326</v>
      </c>
      <c r="B9" s="375">
        <f>B8/12</f>
        <v>84.50833333333333</v>
      </c>
      <c r="C9" s="376">
        <f>C8/12</f>
        <v>87.08333333333333</v>
      </c>
      <c r="D9" s="376">
        <f>D8/12</f>
        <v>9.933333333333334</v>
      </c>
      <c r="E9" s="363" t="s">
        <v>283</v>
      </c>
      <c r="F9" s="363" t="s">
        <v>283</v>
      </c>
      <c r="G9" s="363" t="s">
        <v>283</v>
      </c>
      <c r="H9" s="377"/>
      <c r="I9" s="378"/>
      <c r="J9" s="378"/>
      <c r="K9" s="379"/>
    </row>
    <row r="10" spans="1:11" ht="13.5" thickBot="1">
      <c r="A10" s="380" t="s">
        <v>327</v>
      </c>
      <c r="B10" s="381"/>
      <c r="C10" s="382"/>
      <c r="D10" s="382"/>
      <c r="E10" s="383">
        <f>SUM(E4:E9)</f>
        <v>124.98639999999999</v>
      </c>
      <c r="F10" s="383">
        <f>SUM(F4:F9)</f>
        <v>652.0800000000002</v>
      </c>
      <c r="G10" s="383">
        <f>SUM(G4:G9)</f>
        <v>46.845600000000005</v>
      </c>
      <c r="H10" s="384"/>
      <c r="I10" s="385"/>
      <c r="J10" s="385"/>
      <c r="K10" s="386"/>
    </row>
    <row r="11" spans="1:11" ht="13.5" thickBot="1">
      <c r="A11" s="387" t="s">
        <v>328</v>
      </c>
      <c r="B11" s="388"/>
      <c r="C11" s="388"/>
      <c r="D11" s="388"/>
      <c r="E11" s="389">
        <f>E10*5%+E10</f>
        <v>131.23572</v>
      </c>
      <c r="F11" s="389">
        <f>F10*5%+F10</f>
        <v>684.6840000000002</v>
      </c>
      <c r="G11" s="389">
        <f>G10*5%+G10</f>
        <v>49.18788000000001</v>
      </c>
      <c r="H11" s="384"/>
      <c r="I11" s="385"/>
      <c r="J11" s="385"/>
      <c r="K11" s="386"/>
    </row>
    <row r="12" spans="1:11" ht="13.5" thickBot="1">
      <c r="A12" s="390" t="s">
        <v>329</v>
      </c>
      <c r="B12" s="391"/>
      <c r="C12" s="391"/>
      <c r="D12" s="391"/>
      <c r="E12" s="1142">
        <f>E11+F11+G11</f>
        <v>865.1076000000003</v>
      </c>
      <c r="F12" s="1143"/>
      <c r="G12" s="1143"/>
      <c r="H12" s="392"/>
      <c r="I12" s="393"/>
      <c r="J12" s="393"/>
      <c r="K12" s="394"/>
    </row>
    <row r="13" spans="1:13" s="264" customFormat="1" ht="13.5">
      <c r="A13" s="1139"/>
      <c r="B13" s="1139"/>
      <c r="C13" s="1139"/>
      <c r="D13" s="1139"/>
      <c r="E13" s="1139"/>
      <c r="F13" s="1139"/>
      <c r="G13" s="1139"/>
      <c r="H13" s="395"/>
      <c r="I13" s="395"/>
      <c r="J13" s="396"/>
      <c r="K13" s="397"/>
      <c r="M13" s="359"/>
    </row>
    <row r="14" spans="1:13" s="264" customFormat="1" ht="13.5">
      <c r="A14" s="1138" t="s">
        <v>330</v>
      </c>
      <c r="B14" s="1138"/>
      <c r="C14" s="1138"/>
      <c r="D14" s="1138"/>
      <c r="E14" s="395"/>
      <c r="F14" s="395"/>
      <c r="G14" s="395"/>
      <c r="H14" s="395"/>
      <c r="I14" s="395"/>
      <c r="J14" s="396"/>
      <c r="K14" s="395"/>
      <c r="M14" s="359"/>
    </row>
    <row r="15" spans="1:13" s="264" customFormat="1" ht="13.5">
      <c r="A15" s="1138" t="s">
        <v>331</v>
      </c>
      <c r="B15" s="1138"/>
      <c r="C15" s="1138"/>
      <c r="D15" s="1138"/>
      <c r="E15" s="398">
        <v>0.154</v>
      </c>
      <c r="F15" s="398"/>
      <c r="G15" s="398"/>
      <c r="H15" s="398"/>
      <c r="I15" s="395"/>
      <c r="J15" s="396"/>
      <c r="K15" s="395"/>
      <c r="M15" s="359"/>
    </row>
    <row r="16" spans="1:13" s="264" customFormat="1" ht="13.5">
      <c r="A16" s="1138" t="s">
        <v>332</v>
      </c>
      <c r="B16" s="1138"/>
      <c r="C16" s="1138"/>
      <c r="D16" s="1138"/>
      <c r="E16" s="398"/>
      <c r="F16" s="398"/>
      <c r="G16" s="398"/>
      <c r="H16" s="399"/>
      <c r="I16" s="400"/>
      <c r="J16" s="396"/>
      <c r="K16" s="395"/>
      <c r="M16" s="359"/>
    </row>
    <row r="17" spans="1:13" s="264" customFormat="1" ht="13.5">
      <c r="A17" s="1138" t="s">
        <v>333</v>
      </c>
      <c r="B17" s="1138"/>
      <c r="C17" s="1138"/>
      <c r="D17" s="1138"/>
      <c r="E17" s="398"/>
      <c r="F17" s="398">
        <v>0.624</v>
      </c>
      <c r="G17" s="398"/>
      <c r="H17" s="399"/>
      <c r="I17" s="400"/>
      <c r="J17" s="396"/>
      <c r="K17" s="395"/>
      <c r="M17" s="359"/>
    </row>
    <row r="18" spans="1:13" s="264" customFormat="1" ht="13.5">
      <c r="A18" s="1138" t="s">
        <v>334</v>
      </c>
      <c r="B18" s="1138"/>
      <c r="C18" s="1138"/>
      <c r="D18" s="1138"/>
      <c r="E18" s="398"/>
      <c r="F18" s="398"/>
      <c r="G18" s="398">
        <v>0.393</v>
      </c>
      <c r="H18" s="399"/>
      <c r="I18" s="400"/>
      <c r="J18" s="396"/>
      <c r="K18" s="395"/>
      <c r="M18" s="359"/>
    </row>
    <row r="19" spans="5:12" ht="12.75">
      <c r="E19" s="401"/>
      <c r="F19" s="401"/>
      <c r="G19" s="401"/>
      <c r="H19" s="401"/>
      <c r="I19" s="401"/>
      <c r="J19" s="401"/>
      <c r="K19" s="401"/>
      <c r="L19" s="401"/>
    </row>
    <row r="20" spans="5:12" ht="12.75">
      <c r="E20" s="401"/>
      <c r="F20" s="401"/>
      <c r="G20" s="401"/>
      <c r="H20" s="401"/>
      <c r="I20" s="401"/>
      <c r="J20" s="401"/>
      <c r="K20" s="401"/>
      <c r="L20" s="401"/>
    </row>
    <row r="21" spans="5:12" ht="12.75">
      <c r="E21" s="401"/>
      <c r="F21" s="401"/>
      <c r="G21" s="401"/>
      <c r="H21" s="401"/>
      <c r="I21" s="401"/>
      <c r="J21" s="401"/>
      <c r="K21" s="401"/>
      <c r="L21" s="401"/>
    </row>
    <row r="22" spans="5:12" ht="12.75">
      <c r="E22" s="401"/>
      <c r="F22" s="401"/>
      <c r="G22" s="401"/>
      <c r="H22" s="401"/>
      <c r="I22" s="401"/>
      <c r="J22" s="401"/>
      <c r="K22" s="401"/>
      <c r="L22" s="401"/>
    </row>
    <row r="23" spans="5:12" ht="12.75">
      <c r="E23" s="401"/>
      <c r="F23" s="401"/>
      <c r="G23" s="401"/>
      <c r="H23" s="401"/>
      <c r="I23" s="401"/>
      <c r="J23" s="401"/>
      <c r="K23" s="401"/>
      <c r="L23" s="401"/>
    </row>
    <row r="24" spans="5:12" ht="12.75">
      <c r="E24" s="401"/>
      <c r="F24" s="401"/>
      <c r="G24" s="401"/>
      <c r="H24" s="401"/>
      <c r="I24" s="401"/>
      <c r="J24" s="401"/>
      <c r="K24" s="401"/>
      <c r="L24" s="401"/>
    </row>
    <row r="25" spans="5:12" ht="12.75">
      <c r="E25" s="401"/>
      <c r="F25" s="402"/>
      <c r="G25" s="401"/>
      <c r="H25" s="401"/>
      <c r="I25" s="401"/>
      <c r="J25" s="401"/>
      <c r="K25" s="401"/>
      <c r="L25" s="401"/>
    </row>
    <row r="26" spans="5:12" ht="12.75">
      <c r="E26" s="401"/>
      <c r="F26" s="401"/>
      <c r="G26" s="401"/>
      <c r="H26" s="401"/>
      <c r="I26" s="401"/>
      <c r="J26" s="401"/>
      <c r="K26" s="401"/>
      <c r="L26" s="401"/>
    </row>
    <row r="27" spans="5:12" ht="12.75">
      <c r="E27" s="401"/>
      <c r="F27" s="401"/>
      <c r="G27" s="401"/>
      <c r="H27" s="401"/>
      <c r="I27" s="401"/>
      <c r="J27" s="401"/>
      <c r="K27" s="401"/>
      <c r="L27" s="401"/>
    </row>
    <row r="28" spans="5:12" ht="12.75">
      <c r="E28" s="401"/>
      <c r="F28" s="401"/>
      <c r="G28" s="401"/>
      <c r="H28" s="401"/>
      <c r="I28" s="401"/>
      <c r="J28" s="401"/>
      <c r="K28" s="401"/>
      <c r="L28" s="401"/>
    </row>
    <row r="29" spans="5:12" ht="12.75">
      <c r="E29" s="401"/>
      <c r="F29" s="401"/>
      <c r="G29" s="401"/>
      <c r="H29" s="401"/>
      <c r="I29" s="401"/>
      <c r="J29" s="401"/>
      <c r="K29" s="401"/>
      <c r="L29" s="401"/>
    </row>
  </sheetData>
  <sheetProtection selectLockedCells="1" selectUnlockedCells="1"/>
  <mergeCells count="12">
    <mergeCell ref="H2:I2"/>
    <mergeCell ref="J2:J3"/>
    <mergeCell ref="A1:K1"/>
    <mergeCell ref="A14:D14"/>
    <mergeCell ref="A15:D15"/>
    <mergeCell ref="A16:D16"/>
    <mergeCell ref="A18:D18"/>
    <mergeCell ref="A17:D17"/>
    <mergeCell ref="A13:G13"/>
    <mergeCell ref="K2:K3"/>
    <mergeCell ref="E12:G12"/>
    <mergeCell ref="A2:G2"/>
  </mergeCells>
  <printOptions/>
  <pageMargins left="0.39" right="0.38" top="0.62" bottom="0.984251969" header="0.492125985" footer="0.49212598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1"/>
  </sheetPr>
  <dimension ref="A1:AG11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14.7109375" style="310" customWidth="1"/>
    <col min="2" max="2" width="5.7109375" style="264" bestFit="1" customWidth="1"/>
    <col min="3" max="3" width="4.57421875" style="264" bestFit="1" customWidth="1"/>
    <col min="4" max="4" width="8.140625" style="264" customWidth="1"/>
    <col min="5" max="5" width="7.8515625" style="264" customWidth="1"/>
    <col min="6" max="6" width="9.00390625" style="264" hidden="1" customWidth="1"/>
    <col min="7" max="7" width="8.7109375" style="264" customWidth="1"/>
    <col min="8" max="11" width="5.28125" style="264" customWidth="1"/>
    <col min="12" max="12" width="7.00390625" style="264" bestFit="1" customWidth="1"/>
    <col min="13" max="13" width="6.57421875" style="264" customWidth="1"/>
    <col min="14" max="14" width="5.7109375" style="264" bestFit="1" customWidth="1"/>
    <col min="15" max="15" width="6.57421875" style="264" bestFit="1" customWidth="1"/>
    <col min="16" max="18" width="9.140625" style="264" customWidth="1"/>
    <col min="19" max="19" width="7.7109375" style="264" bestFit="1" customWidth="1"/>
    <col min="20" max="20" width="10.28125" style="264" bestFit="1" customWidth="1"/>
    <col min="21" max="21" width="8.7109375" style="264" bestFit="1" customWidth="1"/>
    <col min="22" max="22" width="15.28125" style="264" bestFit="1" customWidth="1"/>
    <col min="23" max="23" width="9.28125" style="264" bestFit="1" customWidth="1"/>
    <col min="24" max="28" width="9.140625" style="264" customWidth="1"/>
    <col min="29" max="29" width="7.7109375" style="264" bestFit="1" customWidth="1"/>
    <col min="30" max="30" width="10.140625" style="264" bestFit="1" customWidth="1"/>
    <col min="31" max="31" width="8.421875" style="264" bestFit="1" customWidth="1"/>
    <col min="32" max="32" width="15.140625" style="264" customWidth="1"/>
    <col min="33" max="16384" width="9.140625" style="264" customWidth="1"/>
  </cols>
  <sheetData>
    <row r="1" spans="1:33" ht="18.75" thickBot="1">
      <c r="A1" s="1123" t="s">
        <v>335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5"/>
      <c r="P1" s="263"/>
      <c r="Q1" s="263"/>
      <c r="R1" s="263"/>
      <c r="S1" s="1110"/>
      <c r="T1" s="1110"/>
      <c r="U1" s="1110"/>
      <c r="V1" s="1110"/>
      <c r="W1" s="1110"/>
      <c r="X1" s="263"/>
      <c r="Y1" s="263"/>
      <c r="Z1" s="263"/>
      <c r="AA1" s="263"/>
      <c r="AB1" s="263"/>
      <c r="AC1" s="1110"/>
      <c r="AD1" s="1110"/>
      <c r="AE1" s="1110"/>
      <c r="AF1" s="1110"/>
      <c r="AG1" s="1110"/>
    </row>
    <row r="2" spans="1:33" s="269" customFormat="1" ht="12.75">
      <c r="A2" s="1120" t="s">
        <v>258</v>
      </c>
      <c r="B2" s="1126" t="s">
        <v>259</v>
      </c>
      <c r="C2" s="1126"/>
      <c r="D2" s="1126"/>
      <c r="E2" s="1126" t="s">
        <v>260</v>
      </c>
      <c r="F2" s="1126"/>
      <c r="G2" s="1126"/>
      <c r="H2" s="1126"/>
      <c r="I2" s="1126"/>
      <c r="J2" s="1126"/>
      <c r="K2" s="1126"/>
      <c r="L2" s="1126"/>
      <c r="M2" s="1126"/>
      <c r="N2" s="1126" t="s">
        <v>261</v>
      </c>
      <c r="O2" s="1133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</row>
    <row r="3" spans="1:33" s="269" customFormat="1" ht="12.75">
      <c r="A3" s="1121"/>
      <c r="B3" s="1149" t="s">
        <v>239</v>
      </c>
      <c r="C3" s="1150"/>
      <c r="D3" s="1128" t="s">
        <v>285</v>
      </c>
      <c r="E3" s="1099" t="s">
        <v>336</v>
      </c>
      <c r="F3" s="1099"/>
      <c r="G3" s="1099"/>
      <c r="H3" s="1103" t="s">
        <v>337</v>
      </c>
      <c r="I3" s="1104"/>
      <c r="J3" s="1104"/>
      <c r="K3" s="1104"/>
      <c r="L3" s="1104"/>
      <c r="M3" s="1104"/>
      <c r="N3" s="1099"/>
      <c r="O3" s="1134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</row>
    <row r="4" spans="1:33" s="273" customFormat="1" ht="12.75">
      <c r="A4" s="1121"/>
      <c r="B4" s="1115"/>
      <c r="C4" s="1151"/>
      <c r="D4" s="1129"/>
      <c r="E4" s="1103" t="s">
        <v>338</v>
      </c>
      <c r="F4" s="1104"/>
      <c r="G4" s="1105"/>
      <c r="H4" s="1103" t="s">
        <v>339</v>
      </c>
      <c r="I4" s="1104"/>
      <c r="J4" s="1104"/>
      <c r="K4" s="1105"/>
      <c r="L4" s="1099" t="s">
        <v>340</v>
      </c>
      <c r="M4" s="1099"/>
      <c r="N4" s="1099"/>
      <c r="O4" s="1134"/>
      <c r="Q4" s="349"/>
      <c r="S4" s="274"/>
      <c r="T4" s="275"/>
      <c r="U4" s="275"/>
      <c r="V4" s="275"/>
      <c r="W4" s="275"/>
      <c r="AC4" s="274"/>
      <c r="AD4" s="275"/>
      <c r="AE4" s="275"/>
      <c r="AF4" s="275"/>
      <c r="AG4" s="275"/>
    </row>
    <row r="5" spans="1:33" s="273" customFormat="1" ht="13.5" thickBot="1">
      <c r="A5" s="1122"/>
      <c r="B5" s="276" t="s">
        <v>341</v>
      </c>
      <c r="C5" s="276" t="s">
        <v>342</v>
      </c>
      <c r="D5" s="1130"/>
      <c r="E5" s="276" t="s">
        <v>276</v>
      </c>
      <c r="F5" s="276"/>
      <c r="G5" s="276" t="s">
        <v>277</v>
      </c>
      <c r="H5" s="276">
        <v>1.5</v>
      </c>
      <c r="I5" s="276">
        <v>0.9</v>
      </c>
      <c r="J5" s="276">
        <v>7</v>
      </c>
      <c r="K5" s="403">
        <v>2</v>
      </c>
      <c r="L5" s="350" t="s">
        <v>276</v>
      </c>
      <c r="M5" s="350" t="s">
        <v>277</v>
      </c>
      <c r="N5" s="276" t="s">
        <v>278</v>
      </c>
      <c r="O5" s="279" t="s">
        <v>279</v>
      </c>
      <c r="Q5" s="349"/>
      <c r="S5" s="274"/>
      <c r="T5" s="275"/>
      <c r="U5" s="275"/>
      <c r="V5" s="275"/>
      <c r="W5" s="275"/>
      <c r="AC5" s="274"/>
      <c r="AD5" s="275"/>
      <c r="AE5" s="275"/>
      <c r="AF5" s="275"/>
      <c r="AG5" s="275"/>
    </row>
    <row r="6" spans="1:33" s="411" customFormat="1" ht="11.25" customHeight="1">
      <c r="A6" s="341" t="s">
        <v>343</v>
      </c>
      <c r="B6" s="404">
        <v>72.54</v>
      </c>
      <c r="C6" s="342">
        <v>0.08</v>
      </c>
      <c r="D6" s="343">
        <f>(B6)*(C6)</f>
        <v>5.8032</v>
      </c>
      <c r="E6" s="342">
        <f>(B6)/0.15*2</f>
        <v>967.2000000000002</v>
      </c>
      <c r="F6" s="344">
        <v>267</v>
      </c>
      <c r="G6" s="343">
        <f>E6*P6</f>
        <v>148.94880000000003</v>
      </c>
      <c r="H6" s="405">
        <v>63</v>
      </c>
      <c r="I6" s="405" t="s">
        <v>283</v>
      </c>
      <c r="J6" s="405" t="s">
        <v>283</v>
      </c>
      <c r="K6" s="406">
        <v>25</v>
      </c>
      <c r="L6" s="407">
        <f>H6*1.5+K6*2</f>
        <v>144.5</v>
      </c>
      <c r="M6" s="343">
        <f>L6*R6</f>
        <v>35.836</v>
      </c>
      <c r="N6" s="408">
        <v>72.54</v>
      </c>
      <c r="O6" s="409">
        <f>N6*0.025</f>
        <v>1.8135000000000003</v>
      </c>
      <c r="P6" s="543">
        <v>0.154</v>
      </c>
      <c r="Q6" s="544">
        <v>0.624</v>
      </c>
      <c r="R6" s="544">
        <v>0.248</v>
      </c>
      <c r="S6" s="410"/>
      <c r="W6" s="412"/>
      <c r="AC6" s="410"/>
      <c r="AG6" s="412"/>
    </row>
    <row r="7" spans="1:33" s="419" customFormat="1" ht="11.25" customHeight="1" thickBot="1">
      <c r="A7" s="319" t="s">
        <v>344</v>
      </c>
      <c r="B7" s="413">
        <v>72.54</v>
      </c>
      <c r="C7" s="320">
        <v>0.08</v>
      </c>
      <c r="D7" s="321">
        <f>(B7)*(C7)</f>
        <v>5.8032</v>
      </c>
      <c r="E7" s="320">
        <f>(B7)/0.15*2</f>
        <v>967.2000000000002</v>
      </c>
      <c r="F7" s="322">
        <v>260</v>
      </c>
      <c r="G7" s="321">
        <f>E7*P7</f>
        <v>148.94880000000003</v>
      </c>
      <c r="H7" s="414">
        <v>70</v>
      </c>
      <c r="I7" s="414" t="s">
        <v>283</v>
      </c>
      <c r="J7" s="414" t="s">
        <v>283</v>
      </c>
      <c r="K7" s="415">
        <v>25</v>
      </c>
      <c r="L7" s="320">
        <f>H7*1.5+K7*2</f>
        <v>155</v>
      </c>
      <c r="M7" s="321">
        <f>L7*R7</f>
        <v>38.44</v>
      </c>
      <c r="N7" s="416">
        <f>B7</f>
        <v>72.54</v>
      </c>
      <c r="O7" s="417">
        <f>N7*0.025</f>
        <v>1.8135000000000003</v>
      </c>
      <c r="P7" s="545">
        <v>0.154</v>
      </c>
      <c r="Q7" s="546">
        <v>0.624</v>
      </c>
      <c r="R7" s="544">
        <v>0.248</v>
      </c>
      <c r="S7" s="418"/>
      <c r="W7" s="420"/>
      <c r="AC7" s="418"/>
      <c r="AG7" s="420"/>
    </row>
    <row r="8" spans="1:18" s="421" customFormat="1" ht="11.25" customHeight="1">
      <c r="A8" s="341" t="s">
        <v>345</v>
      </c>
      <c r="B8" s="404">
        <v>7</v>
      </c>
      <c r="C8" s="342">
        <v>0.08</v>
      </c>
      <c r="D8" s="343">
        <f>(B8)*(C8)</f>
        <v>0.56</v>
      </c>
      <c r="E8" s="342">
        <f>(B8)/0.15*2</f>
        <v>93.33333333333334</v>
      </c>
      <c r="F8" s="344">
        <v>267</v>
      </c>
      <c r="G8" s="343">
        <f>E8*P8</f>
        <v>14.373333333333335</v>
      </c>
      <c r="H8" s="405" t="s">
        <v>283</v>
      </c>
      <c r="I8" s="405">
        <v>26</v>
      </c>
      <c r="J8" s="405">
        <v>6</v>
      </c>
      <c r="K8" s="406" t="s">
        <v>283</v>
      </c>
      <c r="L8" s="407">
        <f>I8*0.9+J8*7</f>
        <v>65.4</v>
      </c>
      <c r="M8" s="343">
        <f>L8*R8</f>
        <v>16.2192</v>
      </c>
      <c r="N8" s="408">
        <f>B8</f>
        <v>7</v>
      </c>
      <c r="O8" s="409">
        <f>N8*0.025</f>
        <v>0.17500000000000002</v>
      </c>
      <c r="P8" s="545">
        <v>0.154</v>
      </c>
      <c r="Q8" s="546">
        <v>0.624</v>
      </c>
      <c r="R8" s="544">
        <v>0.248</v>
      </c>
    </row>
    <row r="9" spans="1:18" ht="14.25" thickBot="1">
      <c r="A9" s="1131" t="s">
        <v>282</v>
      </c>
      <c r="B9" s="1132"/>
      <c r="C9" s="1132"/>
      <c r="D9" s="334">
        <f>SUM(D6:D8)</f>
        <v>12.166400000000001</v>
      </c>
      <c r="E9" s="338">
        <f>SUM(E6:E8)</f>
        <v>2027.7333333333336</v>
      </c>
      <c r="F9" s="338">
        <f>SUM(F6:F8)</f>
        <v>794</v>
      </c>
      <c r="G9" s="334">
        <f>SUM(G6:G8)</f>
        <v>312.2709333333334</v>
      </c>
      <c r="H9" s="338">
        <f>SUM(H6:H8)</f>
        <v>133</v>
      </c>
      <c r="I9" s="338"/>
      <c r="J9" s="338"/>
      <c r="K9" s="338">
        <f>SUM(K6:K8)</f>
        <v>50</v>
      </c>
      <c r="L9" s="335">
        <f>SUM(L6:L8)</f>
        <v>364.9</v>
      </c>
      <c r="M9" s="334">
        <f>SUM(M6:M8)</f>
        <v>90.4952</v>
      </c>
      <c r="N9" s="335">
        <f>SUM(N6:N8)</f>
        <v>152.08</v>
      </c>
      <c r="O9" s="340">
        <f>SUM(O6:O8)</f>
        <v>3.8020000000000005</v>
      </c>
      <c r="P9" s="547"/>
      <c r="Q9" s="548"/>
      <c r="R9" s="547"/>
    </row>
    <row r="10" ht="13.5">
      <c r="Q10" s="359"/>
    </row>
    <row r="11" ht="13.5">
      <c r="Q11" s="359"/>
    </row>
  </sheetData>
  <sheetProtection selectLockedCells="1" selectUnlockedCells="1"/>
  <mergeCells count="15">
    <mergeCell ref="A2:A5"/>
    <mergeCell ref="H3:M3"/>
    <mergeCell ref="H4:K4"/>
    <mergeCell ref="B3:C4"/>
    <mergeCell ref="E4:G4"/>
    <mergeCell ref="A9:C9"/>
    <mergeCell ref="AC1:AG1"/>
    <mergeCell ref="N2:O4"/>
    <mergeCell ref="S1:W1"/>
    <mergeCell ref="E3:G3"/>
    <mergeCell ref="E2:M2"/>
    <mergeCell ref="A1:O1"/>
    <mergeCell ref="D3:D5"/>
    <mergeCell ref="B2:D2"/>
    <mergeCell ref="L4:M4"/>
  </mergeCells>
  <printOptions/>
  <pageMargins left="0.4330708661417323" right="0.15748031496062992" top="0.31" bottom="0.31496062992125984" header="0.2" footer="0.16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1"/>
  </sheetPr>
  <dimension ref="A1:AH7"/>
  <sheetViews>
    <sheetView view="pageBreakPreview" zoomScaleSheetLayoutView="100" zoomScalePageLayoutView="0" workbookViewId="0" topLeftCell="A1">
      <selection activeCell="A7" sqref="A7:D7"/>
    </sheetView>
  </sheetViews>
  <sheetFormatPr defaultColWidth="9.140625" defaultRowHeight="12.75"/>
  <cols>
    <col min="1" max="1" width="3.28125" style="310" bestFit="1" customWidth="1"/>
    <col min="2" max="2" width="6.7109375" style="310" bestFit="1" customWidth="1"/>
    <col min="3" max="4" width="4.00390625" style="264" bestFit="1" customWidth="1"/>
    <col min="5" max="5" width="4.421875" style="264" bestFit="1" customWidth="1"/>
    <col min="6" max="6" width="7.421875" style="264" bestFit="1" customWidth="1"/>
    <col min="7" max="8" width="9.7109375" style="264" customWidth="1"/>
    <col min="9" max="9" width="7.8515625" style="264" bestFit="1" customWidth="1"/>
    <col min="10" max="10" width="7.421875" style="311" bestFit="1" customWidth="1"/>
    <col min="11" max="11" width="5.7109375" style="311" bestFit="1" customWidth="1"/>
    <col min="12" max="12" width="5.8515625" style="311" bestFit="1" customWidth="1"/>
    <col min="13" max="13" width="5.7109375" style="264" bestFit="1" customWidth="1"/>
    <col min="14" max="14" width="6.7109375" style="264" bestFit="1" customWidth="1"/>
    <col min="15" max="16" width="5.7109375" style="264" bestFit="1" customWidth="1"/>
    <col min="17" max="17" width="9.140625" style="312" customWidth="1"/>
    <col min="18" max="18" width="9.28125" style="313" bestFit="1" customWidth="1"/>
    <col min="19" max="19" width="9.140625" style="264" customWidth="1"/>
    <col min="20" max="20" width="7.7109375" style="264" bestFit="1" customWidth="1"/>
    <col min="21" max="21" width="10.28125" style="264" bestFit="1" customWidth="1"/>
    <col min="22" max="22" width="8.7109375" style="264" bestFit="1" customWidth="1"/>
    <col min="23" max="23" width="15.28125" style="264" bestFit="1" customWidth="1"/>
    <col min="24" max="24" width="9.28125" style="264" bestFit="1" customWidth="1"/>
    <col min="25" max="29" width="9.140625" style="264" customWidth="1"/>
    <col min="30" max="30" width="7.7109375" style="264" bestFit="1" customWidth="1"/>
    <col min="31" max="31" width="10.140625" style="264" bestFit="1" customWidth="1"/>
    <col min="32" max="32" width="8.421875" style="264" bestFit="1" customWidth="1"/>
    <col min="33" max="33" width="15.140625" style="264" customWidth="1"/>
    <col min="34" max="16384" width="9.140625" style="264" customWidth="1"/>
  </cols>
  <sheetData>
    <row r="1" spans="1:34" ht="18.75" thickBot="1">
      <c r="A1" s="1123" t="s">
        <v>257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4"/>
      <c r="P1" s="1125"/>
      <c r="Q1" s="261"/>
      <c r="R1" s="262"/>
      <c r="S1" s="263"/>
      <c r="T1" s="1110"/>
      <c r="U1" s="1110"/>
      <c r="V1" s="1110"/>
      <c r="W1" s="1110"/>
      <c r="X1" s="1110"/>
      <c r="Y1" s="263"/>
      <c r="Z1" s="263"/>
      <c r="AA1" s="263"/>
      <c r="AB1" s="263"/>
      <c r="AC1" s="263"/>
      <c r="AD1" s="1110"/>
      <c r="AE1" s="1110"/>
      <c r="AF1" s="1110"/>
      <c r="AG1" s="1110"/>
      <c r="AH1" s="1110"/>
    </row>
    <row r="2" spans="1:34" s="269" customFormat="1" ht="12.75">
      <c r="A2" s="1120" t="s">
        <v>258</v>
      </c>
      <c r="B2" s="1106" t="s">
        <v>77</v>
      </c>
      <c r="C2" s="1126" t="s">
        <v>259</v>
      </c>
      <c r="D2" s="1126"/>
      <c r="E2" s="1126"/>
      <c r="F2" s="1126"/>
      <c r="G2" s="1126"/>
      <c r="H2" s="265"/>
      <c r="I2" s="1100" t="s">
        <v>260</v>
      </c>
      <c r="J2" s="1101"/>
      <c r="K2" s="1101"/>
      <c r="L2" s="1101"/>
      <c r="M2" s="1101"/>
      <c r="N2" s="1102"/>
      <c r="O2" s="1111" t="s">
        <v>261</v>
      </c>
      <c r="P2" s="1112"/>
      <c r="Q2" s="266"/>
      <c r="R2" s="267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</row>
    <row r="3" spans="1:34" s="269" customFormat="1" ht="12.75">
      <c r="A3" s="1121"/>
      <c r="B3" s="1107"/>
      <c r="C3" s="1099" t="s">
        <v>239</v>
      </c>
      <c r="D3" s="1099"/>
      <c r="E3" s="1099"/>
      <c r="F3" s="1099"/>
      <c r="G3" s="1099" t="s">
        <v>262</v>
      </c>
      <c r="H3" s="1099" t="s">
        <v>263</v>
      </c>
      <c r="I3" s="1103" t="s">
        <v>264</v>
      </c>
      <c r="J3" s="1104"/>
      <c r="K3" s="1104"/>
      <c r="L3" s="1104"/>
      <c r="M3" s="1104"/>
      <c r="N3" s="1105"/>
      <c r="O3" s="1113"/>
      <c r="P3" s="1114"/>
      <c r="Q3" s="266"/>
      <c r="R3" s="267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</row>
    <row r="4" spans="1:34" s="273" customFormat="1" ht="12.75">
      <c r="A4" s="1121"/>
      <c r="B4" s="1107"/>
      <c r="C4" s="1099" t="s">
        <v>265</v>
      </c>
      <c r="D4" s="1099"/>
      <c r="E4" s="1099"/>
      <c r="F4" s="270" t="s">
        <v>266</v>
      </c>
      <c r="G4" s="1099"/>
      <c r="H4" s="1099"/>
      <c r="I4" s="270" t="s">
        <v>267</v>
      </c>
      <c r="J4" s="270" t="s">
        <v>268</v>
      </c>
      <c r="K4" s="1099" t="s">
        <v>269</v>
      </c>
      <c r="L4" s="1099"/>
      <c r="M4" s="1099" t="s">
        <v>270</v>
      </c>
      <c r="N4" s="1099"/>
      <c r="O4" s="1115"/>
      <c r="P4" s="1116"/>
      <c r="Q4" s="271"/>
      <c r="R4" s="272"/>
      <c r="T4" s="274"/>
      <c r="U4" s="275"/>
      <c r="V4" s="275"/>
      <c r="W4" s="275"/>
      <c r="X4" s="275"/>
      <c r="AD4" s="274"/>
      <c r="AE4" s="275"/>
      <c r="AF4" s="275"/>
      <c r="AG4" s="275"/>
      <c r="AH4" s="275"/>
    </row>
    <row r="5" spans="1:34" s="273" customFormat="1" ht="13.5" thickBot="1">
      <c r="A5" s="1122"/>
      <c r="B5" s="1108"/>
      <c r="C5" s="276" t="s">
        <v>271</v>
      </c>
      <c r="D5" s="276" t="s">
        <v>272</v>
      </c>
      <c r="E5" s="276" t="s">
        <v>273</v>
      </c>
      <c r="F5" s="277" t="s">
        <v>274</v>
      </c>
      <c r="G5" s="1109"/>
      <c r="H5" s="1109"/>
      <c r="I5" s="278" t="s">
        <v>275</v>
      </c>
      <c r="J5" s="278" t="s">
        <v>275</v>
      </c>
      <c r="K5" s="278" t="s">
        <v>276</v>
      </c>
      <c r="L5" s="278" t="s">
        <v>277</v>
      </c>
      <c r="M5" s="278" t="s">
        <v>276</v>
      </c>
      <c r="N5" s="278" t="s">
        <v>277</v>
      </c>
      <c r="O5" s="276" t="s">
        <v>278</v>
      </c>
      <c r="P5" s="279" t="s">
        <v>279</v>
      </c>
      <c r="Q5" s="271"/>
      <c r="R5" s="272"/>
      <c r="T5" s="274"/>
      <c r="U5" s="275"/>
      <c r="V5" s="275"/>
      <c r="W5" s="275"/>
      <c r="X5" s="275"/>
      <c r="AD5" s="274"/>
      <c r="AE5" s="275"/>
      <c r="AF5" s="275"/>
      <c r="AG5" s="275"/>
      <c r="AH5" s="275"/>
    </row>
    <row r="6" spans="1:34" s="301" customFormat="1" ht="11.25" customHeight="1">
      <c r="A6" s="292" t="s">
        <v>472</v>
      </c>
      <c r="B6" s="293" t="s">
        <v>346</v>
      </c>
      <c r="C6" s="294">
        <v>1</v>
      </c>
      <c r="D6" s="294">
        <v>1</v>
      </c>
      <c r="E6" s="294">
        <v>0.12</v>
      </c>
      <c r="F6" s="294"/>
      <c r="G6" s="295">
        <f>(C6*D6*E6)+(C6*D6*F6)</f>
        <v>0.12</v>
      </c>
      <c r="H6" s="295">
        <f>G6*B6</f>
        <v>1.56</v>
      </c>
      <c r="I6" s="296">
        <v>8</v>
      </c>
      <c r="J6" s="296">
        <v>8</v>
      </c>
      <c r="K6" s="297">
        <f>J6*D6+I6*C6</f>
        <v>16</v>
      </c>
      <c r="L6" s="298">
        <f>K6*R6</f>
        <v>9.984</v>
      </c>
      <c r="M6" s="297">
        <f>K6*B6</f>
        <v>208</v>
      </c>
      <c r="N6" s="298">
        <f>L6*B6</f>
        <v>129.792</v>
      </c>
      <c r="O6" s="294">
        <f>(C6*D6*E6)*B6</f>
        <v>1.56</v>
      </c>
      <c r="P6" s="299">
        <f>O6*0.025</f>
        <v>0.03900000000000001</v>
      </c>
      <c r="Q6" s="300"/>
      <c r="R6" s="426">
        <v>0.624</v>
      </c>
      <c r="T6" s="302"/>
      <c r="X6" s="303"/>
      <c r="AD6" s="302"/>
      <c r="AH6" s="303"/>
    </row>
    <row r="7" spans="1:18" s="269" customFormat="1" ht="14.25" customHeight="1" thickBot="1">
      <c r="A7" s="1117" t="s">
        <v>282</v>
      </c>
      <c r="B7" s="1118"/>
      <c r="C7" s="1119"/>
      <c r="D7" s="1119"/>
      <c r="E7" s="304" t="s">
        <v>283</v>
      </c>
      <c r="F7" s="304" t="s">
        <v>283</v>
      </c>
      <c r="G7" s="305" t="s">
        <v>283</v>
      </c>
      <c r="H7" s="306">
        <f>SUM(H6:H6)</f>
        <v>1.56</v>
      </c>
      <c r="I7" s="307" t="s">
        <v>283</v>
      </c>
      <c r="J7" s="307" t="s">
        <v>283</v>
      </c>
      <c r="K7" s="306" t="s">
        <v>283</v>
      </c>
      <c r="L7" s="305" t="s">
        <v>283</v>
      </c>
      <c r="M7" s="306">
        <f>SUM(M6:M6)</f>
        <v>208</v>
      </c>
      <c r="N7" s="306">
        <f>SUM(N6:N6)</f>
        <v>129.792</v>
      </c>
      <c r="O7" s="306">
        <f>SUM(O6:O6)</f>
        <v>1.56</v>
      </c>
      <c r="P7" s="306">
        <f>SUM(P6:P6)</f>
        <v>0.03900000000000001</v>
      </c>
      <c r="Q7" s="308"/>
      <c r="R7" s="309"/>
    </row>
  </sheetData>
  <sheetProtection selectLockedCells="1" selectUnlockedCells="1"/>
  <mergeCells count="16">
    <mergeCell ref="C4:E4"/>
    <mergeCell ref="I2:N2"/>
    <mergeCell ref="I3:N3"/>
    <mergeCell ref="B2:B5"/>
    <mergeCell ref="H3:H5"/>
    <mergeCell ref="M4:N4"/>
    <mergeCell ref="AD1:AH1"/>
    <mergeCell ref="O2:P4"/>
    <mergeCell ref="K4:L4"/>
    <mergeCell ref="A7:D7"/>
    <mergeCell ref="A2:A5"/>
    <mergeCell ref="A1:P1"/>
    <mergeCell ref="T1:X1"/>
    <mergeCell ref="G3:G5"/>
    <mergeCell ref="C3:F3"/>
    <mergeCell ref="C2:G2"/>
  </mergeCells>
  <printOptions/>
  <pageMargins left="0.4330708661417323" right="0.15748031496062992" top="0.5118110236220472" bottom="0.31496062992125984" header="0.2362204724409449" footer="0.2362204724409449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1"/>
  </sheetPr>
  <dimension ref="A1:AG31"/>
  <sheetViews>
    <sheetView view="pageBreakPreview" zoomScaleSheetLayoutView="100" zoomScalePageLayoutView="0" workbookViewId="0" topLeftCell="A1">
      <selection activeCell="A6" sqref="A6:A18"/>
    </sheetView>
  </sheetViews>
  <sheetFormatPr defaultColWidth="9.140625" defaultRowHeight="12.75"/>
  <cols>
    <col min="1" max="1" width="3.28125" style="310" bestFit="1" customWidth="1"/>
    <col min="2" max="3" width="3.57421875" style="264" bestFit="1" customWidth="1"/>
    <col min="4" max="4" width="5.28125" style="264" bestFit="1" customWidth="1"/>
    <col min="5" max="5" width="7.8515625" style="264" customWidth="1"/>
    <col min="6" max="6" width="9.28125" style="264" bestFit="1" customWidth="1"/>
    <col min="7" max="7" width="7.7109375" style="264" customWidth="1"/>
    <col min="8" max="8" width="6.57421875" style="264" bestFit="1" customWidth="1"/>
    <col min="9" max="9" width="5.7109375" style="264" bestFit="1" customWidth="1"/>
    <col min="10" max="10" width="9.28125" style="311" bestFit="1" customWidth="1"/>
    <col min="11" max="11" width="7.00390625" style="264" bestFit="1" customWidth="1"/>
    <col min="12" max="13" width="6.57421875" style="264" bestFit="1" customWidth="1"/>
    <col min="14" max="15" width="5.7109375" style="264" bestFit="1" customWidth="1"/>
    <col min="16" max="16" width="9.140625" style="312" customWidth="1"/>
    <col min="17" max="17" width="9.140625" style="313" customWidth="1"/>
    <col min="18" max="18" width="9.140625" style="264" customWidth="1"/>
    <col min="19" max="19" width="7.7109375" style="264" bestFit="1" customWidth="1"/>
    <col min="20" max="20" width="10.28125" style="264" bestFit="1" customWidth="1"/>
    <col min="21" max="21" width="8.7109375" style="264" bestFit="1" customWidth="1"/>
    <col min="22" max="22" width="15.28125" style="264" bestFit="1" customWidth="1"/>
    <col min="23" max="23" width="9.28125" style="264" bestFit="1" customWidth="1"/>
    <col min="24" max="28" width="9.140625" style="264" customWidth="1"/>
    <col min="29" max="29" width="7.7109375" style="264" bestFit="1" customWidth="1"/>
    <col min="30" max="30" width="10.140625" style="264" bestFit="1" customWidth="1"/>
    <col min="31" max="31" width="8.421875" style="264" bestFit="1" customWidth="1"/>
    <col min="32" max="32" width="15.140625" style="264" customWidth="1"/>
    <col min="33" max="16384" width="9.140625" style="264" customWidth="1"/>
  </cols>
  <sheetData>
    <row r="1" spans="1:33" s="317" customFormat="1" ht="18.75" thickBot="1">
      <c r="A1" s="1123" t="s">
        <v>284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5"/>
      <c r="P1" s="314"/>
      <c r="Q1" s="315"/>
      <c r="R1" s="316"/>
      <c r="S1" s="1127"/>
      <c r="T1" s="1127"/>
      <c r="U1" s="1127"/>
      <c r="V1" s="1127"/>
      <c r="W1" s="1127"/>
      <c r="X1" s="316"/>
      <c r="Y1" s="316"/>
      <c r="Z1" s="316"/>
      <c r="AA1" s="316"/>
      <c r="AB1" s="316"/>
      <c r="AC1" s="1127"/>
      <c r="AD1" s="1127"/>
      <c r="AE1" s="1127"/>
      <c r="AF1" s="1127"/>
      <c r="AG1" s="1127"/>
    </row>
    <row r="2" spans="1:33" s="269" customFormat="1" ht="12.75">
      <c r="A2" s="1120" t="s">
        <v>258</v>
      </c>
      <c r="B2" s="1126" t="s">
        <v>259</v>
      </c>
      <c r="C2" s="1126"/>
      <c r="D2" s="1126"/>
      <c r="E2" s="1126"/>
      <c r="F2" s="1126" t="s">
        <v>260</v>
      </c>
      <c r="G2" s="1126"/>
      <c r="H2" s="1126"/>
      <c r="I2" s="1126"/>
      <c r="J2" s="1126"/>
      <c r="K2" s="1126"/>
      <c r="L2" s="1126"/>
      <c r="M2" s="1126"/>
      <c r="N2" s="1126" t="s">
        <v>261</v>
      </c>
      <c r="O2" s="1133"/>
      <c r="P2" s="266"/>
      <c r="Q2" s="267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</row>
    <row r="3" spans="1:33" s="269" customFormat="1" ht="12.75">
      <c r="A3" s="1121"/>
      <c r="B3" s="1099" t="s">
        <v>239</v>
      </c>
      <c r="C3" s="1099"/>
      <c r="D3" s="1099"/>
      <c r="E3" s="1128" t="s">
        <v>285</v>
      </c>
      <c r="F3" s="1099" t="s">
        <v>286</v>
      </c>
      <c r="G3" s="1099"/>
      <c r="H3" s="1099"/>
      <c r="I3" s="1099"/>
      <c r="J3" s="1103" t="s">
        <v>264</v>
      </c>
      <c r="K3" s="1104"/>
      <c r="L3" s="1104"/>
      <c r="M3" s="1105"/>
      <c r="N3" s="1099"/>
      <c r="O3" s="1134"/>
      <c r="P3" s="266"/>
      <c r="Q3" s="267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</row>
    <row r="4" spans="1:33" s="273" customFormat="1" ht="25.5">
      <c r="A4" s="1121"/>
      <c r="B4" s="1099" t="s">
        <v>287</v>
      </c>
      <c r="C4" s="1099"/>
      <c r="D4" s="270" t="s">
        <v>288</v>
      </c>
      <c r="E4" s="1129"/>
      <c r="F4" s="270" t="s">
        <v>289</v>
      </c>
      <c r="G4" s="1099" t="s">
        <v>290</v>
      </c>
      <c r="H4" s="1099" t="s">
        <v>291</v>
      </c>
      <c r="I4" s="1099"/>
      <c r="J4" s="270" t="s">
        <v>292</v>
      </c>
      <c r="K4" s="318" t="s">
        <v>290</v>
      </c>
      <c r="L4" s="1099" t="s">
        <v>293</v>
      </c>
      <c r="M4" s="1099"/>
      <c r="N4" s="1099"/>
      <c r="O4" s="1134"/>
      <c r="P4" s="271"/>
      <c r="Q4" s="272"/>
      <c r="S4" s="274"/>
      <c r="T4" s="275"/>
      <c r="U4" s="275"/>
      <c r="V4" s="275"/>
      <c r="W4" s="275"/>
      <c r="AC4" s="274"/>
      <c r="AD4" s="275"/>
      <c r="AE4" s="275"/>
      <c r="AF4" s="275"/>
      <c r="AG4" s="275"/>
    </row>
    <row r="5" spans="1:33" s="273" customFormat="1" ht="13.5" thickBot="1">
      <c r="A5" s="1122"/>
      <c r="B5" s="276" t="s">
        <v>271</v>
      </c>
      <c r="C5" s="276" t="s">
        <v>272</v>
      </c>
      <c r="D5" s="277">
        <v>1</v>
      </c>
      <c r="E5" s="1130"/>
      <c r="F5" s="276" t="s">
        <v>294</v>
      </c>
      <c r="G5" s="1109"/>
      <c r="H5" s="276" t="s">
        <v>276</v>
      </c>
      <c r="I5" s="276" t="s">
        <v>277</v>
      </c>
      <c r="J5" s="278" t="s">
        <v>275</v>
      </c>
      <c r="K5" s="276" t="s">
        <v>295</v>
      </c>
      <c r="L5" s="278" t="s">
        <v>276</v>
      </c>
      <c r="M5" s="278" t="s">
        <v>277</v>
      </c>
      <c r="N5" s="276" t="s">
        <v>278</v>
      </c>
      <c r="O5" s="279" t="s">
        <v>279</v>
      </c>
      <c r="P5" s="271"/>
      <c r="Q5" s="272"/>
      <c r="S5" s="274"/>
      <c r="T5" s="275"/>
      <c r="U5" s="275"/>
      <c r="V5" s="275"/>
      <c r="W5" s="275"/>
      <c r="AC5" s="274"/>
      <c r="AD5" s="275"/>
      <c r="AE5" s="275"/>
      <c r="AF5" s="275"/>
      <c r="AG5" s="275"/>
    </row>
    <row r="6" spans="1:33" s="269" customFormat="1" ht="13.5">
      <c r="A6" s="327" t="s">
        <v>473</v>
      </c>
      <c r="B6" s="328">
        <v>0.15</v>
      </c>
      <c r="C6" s="328">
        <v>0.3</v>
      </c>
      <c r="D6" s="328">
        <v>1.5</v>
      </c>
      <c r="E6" s="329">
        <f aca="true" t="shared" si="0" ref="E6:E18">(D6)*(B6)*(C6)</f>
        <v>0.06749999999999999</v>
      </c>
      <c r="F6" s="330">
        <f aca="true" t="shared" si="1" ref="F6:F18">(D6)/0.1</f>
        <v>15</v>
      </c>
      <c r="G6" s="328">
        <f aca="true" t="shared" si="2" ref="G6:G18">B6*2+C6*2</f>
        <v>0.8999999999999999</v>
      </c>
      <c r="H6" s="328">
        <f aca="true" t="shared" si="3" ref="H6:H18">G6*F6</f>
        <v>13.499999999999998</v>
      </c>
      <c r="I6" s="329">
        <f aca="true" t="shared" si="4" ref="I6:I18">H6*P6</f>
        <v>2.0789999999999997</v>
      </c>
      <c r="J6" s="331">
        <v>6</v>
      </c>
      <c r="K6" s="328">
        <f aca="true" t="shared" si="5" ref="K6:K18">D6+0.6</f>
        <v>2.1</v>
      </c>
      <c r="L6" s="328">
        <f aca="true" t="shared" si="6" ref="L6:L18">(J6)*K6</f>
        <v>12.600000000000001</v>
      </c>
      <c r="M6" s="329">
        <f aca="true" t="shared" si="7" ref="M6:M18">L6*Q6</f>
        <v>7.862400000000001</v>
      </c>
      <c r="N6" s="328">
        <f aca="true" t="shared" si="8" ref="N6:N18">(B6+C6+0.05)*2*(D6)</f>
        <v>1.4999999999999998</v>
      </c>
      <c r="O6" s="332">
        <f aca="true" t="shared" si="9" ref="O6:O18">N6*0.025</f>
        <v>0.0375</v>
      </c>
      <c r="P6" s="542">
        <v>0.154</v>
      </c>
      <c r="Q6" s="540">
        <v>0.624</v>
      </c>
      <c r="S6" s="336"/>
      <c r="W6" s="337"/>
      <c r="AC6" s="336"/>
      <c r="AG6" s="337"/>
    </row>
    <row r="7" spans="1:33" s="269" customFormat="1" ht="12" customHeight="1">
      <c r="A7" s="319" t="s">
        <v>474</v>
      </c>
      <c r="B7" s="320">
        <v>0.15</v>
      </c>
      <c r="C7" s="320">
        <v>0.3</v>
      </c>
      <c r="D7" s="320">
        <v>1.5</v>
      </c>
      <c r="E7" s="321">
        <f t="shared" si="0"/>
        <v>0.06749999999999999</v>
      </c>
      <c r="F7" s="322">
        <f t="shared" si="1"/>
        <v>15</v>
      </c>
      <c r="G7" s="320">
        <f t="shared" si="2"/>
        <v>0.8999999999999999</v>
      </c>
      <c r="H7" s="320">
        <f t="shared" si="3"/>
        <v>13.499999999999998</v>
      </c>
      <c r="I7" s="321">
        <f t="shared" si="4"/>
        <v>2.0789999999999997</v>
      </c>
      <c r="J7" s="323">
        <v>6</v>
      </c>
      <c r="K7" s="320">
        <f t="shared" si="5"/>
        <v>2.1</v>
      </c>
      <c r="L7" s="320">
        <f t="shared" si="6"/>
        <v>12.600000000000001</v>
      </c>
      <c r="M7" s="321">
        <f t="shared" si="7"/>
        <v>7.862400000000001</v>
      </c>
      <c r="N7" s="320">
        <f t="shared" si="8"/>
        <v>1.4999999999999998</v>
      </c>
      <c r="O7" s="324">
        <f t="shared" si="9"/>
        <v>0.0375</v>
      </c>
      <c r="P7" s="542">
        <v>0.154</v>
      </c>
      <c r="Q7" s="540">
        <v>0.624</v>
      </c>
      <c r="S7" s="336"/>
      <c r="W7" s="337"/>
      <c r="AC7" s="336"/>
      <c r="AG7" s="337"/>
    </row>
    <row r="8" spans="1:33" s="269" customFormat="1" ht="11.25" customHeight="1">
      <c r="A8" s="327" t="s">
        <v>475</v>
      </c>
      <c r="B8" s="328">
        <v>0.15</v>
      </c>
      <c r="C8" s="328">
        <v>0.3</v>
      </c>
      <c r="D8" s="328">
        <v>1.5</v>
      </c>
      <c r="E8" s="329">
        <f t="shared" si="0"/>
        <v>0.06749999999999999</v>
      </c>
      <c r="F8" s="330">
        <f t="shared" si="1"/>
        <v>15</v>
      </c>
      <c r="G8" s="328">
        <f t="shared" si="2"/>
        <v>0.8999999999999999</v>
      </c>
      <c r="H8" s="328">
        <f t="shared" si="3"/>
        <v>13.499999999999998</v>
      </c>
      <c r="I8" s="329">
        <f t="shared" si="4"/>
        <v>2.0789999999999997</v>
      </c>
      <c r="J8" s="331">
        <v>6</v>
      </c>
      <c r="K8" s="328">
        <f t="shared" si="5"/>
        <v>2.1</v>
      </c>
      <c r="L8" s="328">
        <f t="shared" si="6"/>
        <v>12.600000000000001</v>
      </c>
      <c r="M8" s="329">
        <f t="shared" si="7"/>
        <v>7.862400000000001</v>
      </c>
      <c r="N8" s="328">
        <f t="shared" si="8"/>
        <v>1.4999999999999998</v>
      </c>
      <c r="O8" s="332">
        <f t="shared" si="9"/>
        <v>0.0375</v>
      </c>
      <c r="P8" s="542">
        <v>0.154</v>
      </c>
      <c r="Q8" s="540">
        <v>0.624</v>
      </c>
      <c r="S8" s="336"/>
      <c r="W8" s="337"/>
      <c r="AC8" s="336"/>
      <c r="AG8" s="337"/>
    </row>
    <row r="9" spans="1:17" ht="13.5">
      <c r="A9" s="319" t="s">
        <v>476</v>
      </c>
      <c r="B9" s="320">
        <v>0.15</v>
      </c>
      <c r="C9" s="320">
        <v>0.3</v>
      </c>
      <c r="D9" s="320">
        <v>1.5</v>
      </c>
      <c r="E9" s="321">
        <f t="shared" si="0"/>
        <v>0.06749999999999999</v>
      </c>
      <c r="F9" s="322">
        <f t="shared" si="1"/>
        <v>15</v>
      </c>
      <c r="G9" s="320">
        <f t="shared" si="2"/>
        <v>0.8999999999999999</v>
      </c>
      <c r="H9" s="320">
        <f t="shared" si="3"/>
        <v>13.499999999999998</v>
      </c>
      <c r="I9" s="321">
        <f t="shared" si="4"/>
        <v>2.0789999999999997</v>
      </c>
      <c r="J9" s="323">
        <v>6</v>
      </c>
      <c r="K9" s="320">
        <f t="shared" si="5"/>
        <v>2.1</v>
      </c>
      <c r="L9" s="320">
        <f t="shared" si="6"/>
        <v>12.600000000000001</v>
      </c>
      <c r="M9" s="321">
        <f t="shared" si="7"/>
        <v>7.862400000000001</v>
      </c>
      <c r="N9" s="320">
        <f t="shared" si="8"/>
        <v>1.4999999999999998</v>
      </c>
      <c r="O9" s="324">
        <f t="shared" si="9"/>
        <v>0.0375</v>
      </c>
      <c r="P9" s="542">
        <v>0.154</v>
      </c>
      <c r="Q9" s="540">
        <v>0.624</v>
      </c>
    </row>
    <row r="10" spans="1:17" ht="13.5">
      <c r="A10" s="327" t="s">
        <v>477</v>
      </c>
      <c r="B10" s="328">
        <v>0.15</v>
      </c>
      <c r="C10" s="328">
        <v>0.3</v>
      </c>
      <c r="D10" s="328">
        <v>1.5</v>
      </c>
      <c r="E10" s="329">
        <f t="shared" si="0"/>
        <v>0.06749999999999999</v>
      </c>
      <c r="F10" s="330">
        <f t="shared" si="1"/>
        <v>15</v>
      </c>
      <c r="G10" s="328">
        <f t="shared" si="2"/>
        <v>0.8999999999999999</v>
      </c>
      <c r="H10" s="328">
        <f t="shared" si="3"/>
        <v>13.499999999999998</v>
      </c>
      <c r="I10" s="329">
        <f t="shared" si="4"/>
        <v>2.0789999999999997</v>
      </c>
      <c r="J10" s="331">
        <v>6</v>
      </c>
      <c r="K10" s="328">
        <f t="shared" si="5"/>
        <v>2.1</v>
      </c>
      <c r="L10" s="328">
        <f t="shared" si="6"/>
        <v>12.600000000000001</v>
      </c>
      <c r="M10" s="329">
        <f t="shared" si="7"/>
        <v>7.862400000000001</v>
      </c>
      <c r="N10" s="328">
        <f t="shared" si="8"/>
        <v>1.4999999999999998</v>
      </c>
      <c r="O10" s="332">
        <f t="shared" si="9"/>
        <v>0.0375</v>
      </c>
      <c r="P10" s="542">
        <v>0.154</v>
      </c>
      <c r="Q10" s="540">
        <v>0.624</v>
      </c>
    </row>
    <row r="11" spans="1:17" ht="13.5">
      <c r="A11" s="319" t="s">
        <v>478</v>
      </c>
      <c r="B11" s="320">
        <v>0.15</v>
      </c>
      <c r="C11" s="320">
        <v>0.3</v>
      </c>
      <c r="D11" s="320">
        <v>1.5</v>
      </c>
      <c r="E11" s="321">
        <f t="shared" si="0"/>
        <v>0.06749999999999999</v>
      </c>
      <c r="F11" s="322">
        <f t="shared" si="1"/>
        <v>15</v>
      </c>
      <c r="G11" s="320">
        <f t="shared" si="2"/>
        <v>0.8999999999999999</v>
      </c>
      <c r="H11" s="320">
        <f t="shared" si="3"/>
        <v>13.499999999999998</v>
      </c>
      <c r="I11" s="321">
        <f t="shared" si="4"/>
        <v>2.0789999999999997</v>
      </c>
      <c r="J11" s="323">
        <v>6</v>
      </c>
      <c r="K11" s="320">
        <f t="shared" si="5"/>
        <v>2.1</v>
      </c>
      <c r="L11" s="320">
        <f t="shared" si="6"/>
        <v>12.600000000000001</v>
      </c>
      <c r="M11" s="321">
        <f t="shared" si="7"/>
        <v>7.862400000000001</v>
      </c>
      <c r="N11" s="320">
        <f t="shared" si="8"/>
        <v>1.4999999999999998</v>
      </c>
      <c r="O11" s="324">
        <f t="shared" si="9"/>
        <v>0.0375</v>
      </c>
      <c r="P11" s="542">
        <v>0.154</v>
      </c>
      <c r="Q11" s="540">
        <v>0.624</v>
      </c>
    </row>
    <row r="12" spans="1:17" ht="13.5">
      <c r="A12" s="327" t="s">
        <v>479</v>
      </c>
      <c r="B12" s="328">
        <v>0.15</v>
      </c>
      <c r="C12" s="328">
        <v>0.3</v>
      </c>
      <c r="D12" s="328">
        <v>1.5</v>
      </c>
      <c r="E12" s="329">
        <f t="shared" si="0"/>
        <v>0.06749999999999999</v>
      </c>
      <c r="F12" s="330">
        <f t="shared" si="1"/>
        <v>15</v>
      </c>
      <c r="G12" s="328">
        <f t="shared" si="2"/>
        <v>0.8999999999999999</v>
      </c>
      <c r="H12" s="328">
        <f t="shared" si="3"/>
        <v>13.499999999999998</v>
      </c>
      <c r="I12" s="329">
        <f t="shared" si="4"/>
        <v>2.0789999999999997</v>
      </c>
      <c r="J12" s="331">
        <v>6</v>
      </c>
      <c r="K12" s="328">
        <f t="shared" si="5"/>
        <v>2.1</v>
      </c>
      <c r="L12" s="328">
        <f t="shared" si="6"/>
        <v>12.600000000000001</v>
      </c>
      <c r="M12" s="329">
        <f t="shared" si="7"/>
        <v>7.862400000000001</v>
      </c>
      <c r="N12" s="328">
        <f t="shared" si="8"/>
        <v>1.4999999999999998</v>
      </c>
      <c r="O12" s="332">
        <f t="shared" si="9"/>
        <v>0.0375</v>
      </c>
      <c r="P12" s="542">
        <v>0.154</v>
      </c>
      <c r="Q12" s="540">
        <v>0.624</v>
      </c>
    </row>
    <row r="13" spans="1:17" ht="13.5">
      <c r="A13" s="319" t="s">
        <v>480</v>
      </c>
      <c r="B13" s="320">
        <v>0.15</v>
      </c>
      <c r="C13" s="320">
        <v>0.3</v>
      </c>
      <c r="D13" s="320">
        <v>1.5</v>
      </c>
      <c r="E13" s="321">
        <f t="shared" si="0"/>
        <v>0.06749999999999999</v>
      </c>
      <c r="F13" s="322">
        <f t="shared" si="1"/>
        <v>15</v>
      </c>
      <c r="G13" s="320">
        <f t="shared" si="2"/>
        <v>0.8999999999999999</v>
      </c>
      <c r="H13" s="320">
        <f t="shared" si="3"/>
        <v>13.499999999999998</v>
      </c>
      <c r="I13" s="321">
        <f t="shared" si="4"/>
        <v>2.0789999999999997</v>
      </c>
      <c r="J13" s="323">
        <v>6</v>
      </c>
      <c r="K13" s="320">
        <f t="shared" si="5"/>
        <v>2.1</v>
      </c>
      <c r="L13" s="320">
        <f t="shared" si="6"/>
        <v>12.600000000000001</v>
      </c>
      <c r="M13" s="321">
        <f t="shared" si="7"/>
        <v>7.862400000000001</v>
      </c>
      <c r="N13" s="320">
        <f t="shared" si="8"/>
        <v>1.4999999999999998</v>
      </c>
      <c r="O13" s="324">
        <f t="shared" si="9"/>
        <v>0.0375</v>
      </c>
      <c r="P13" s="542">
        <v>0.154</v>
      </c>
      <c r="Q13" s="540">
        <v>0.624</v>
      </c>
    </row>
    <row r="14" spans="1:17" ht="13.5">
      <c r="A14" s="327" t="s">
        <v>347</v>
      </c>
      <c r="B14" s="328">
        <v>0.15</v>
      </c>
      <c r="C14" s="328">
        <v>0.3</v>
      </c>
      <c r="D14" s="328">
        <v>1.5</v>
      </c>
      <c r="E14" s="329">
        <f t="shared" si="0"/>
        <v>0.06749999999999999</v>
      </c>
      <c r="F14" s="330">
        <f t="shared" si="1"/>
        <v>15</v>
      </c>
      <c r="G14" s="328">
        <f t="shared" si="2"/>
        <v>0.8999999999999999</v>
      </c>
      <c r="H14" s="328">
        <f t="shared" si="3"/>
        <v>13.499999999999998</v>
      </c>
      <c r="I14" s="329">
        <f t="shared" si="4"/>
        <v>2.0789999999999997</v>
      </c>
      <c r="J14" s="331">
        <v>6</v>
      </c>
      <c r="K14" s="328">
        <f t="shared" si="5"/>
        <v>2.1</v>
      </c>
      <c r="L14" s="328">
        <f t="shared" si="6"/>
        <v>12.600000000000001</v>
      </c>
      <c r="M14" s="329">
        <f t="shared" si="7"/>
        <v>7.862400000000001</v>
      </c>
      <c r="N14" s="328">
        <f t="shared" si="8"/>
        <v>1.4999999999999998</v>
      </c>
      <c r="O14" s="332">
        <f t="shared" si="9"/>
        <v>0.0375</v>
      </c>
      <c r="P14" s="542">
        <v>0.154</v>
      </c>
      <c r="Q14" s="540">
        <v>0.624</v>
      </c>
    </row>
    <row r="15" spans="1:17" ht="13.5">
      <c r="A15" s="319" t="s">
        <v>348</v>
      </c>
      <c r="B15" s="320">
        <v>0.15</v>
      </c>
      <c r="C15" s="320">
        <v>0.3</v>
      </c>
      <c r="D15" s="320">
        <v>1.5</v>
      </c>
      <c r="E15" s="321">
        <f t="shared" si="0"/>
        <v>0.06749999999999999</v>
      </c>
      <c r="F15" s="322">
        <f t="shared" si="1"/>
        <v>15</v>
      </c>
      <c r="G15" s="320">
        <f t="shared" si="2"/>
        <v>0.8999999999999999</v>
      </c>
      <c r="H15" s="320">
        <f t="shared" si="3"/>
        <v>13.499999999999998</v>
      </c>
      <c r="I15" s="321">
        <f t="shared" si="4"/>
        <v>2.0789999999999997</v>
      </c>
      <c r="J15" s="323">
        <v>6</v>
      </c>
      <c r="K15" s="320">
        <f t="shared" si="5"/>
        <v>2.1</v>
      </c>
      <c r="L15" s="320">
        <f t="shared" si="6"/>
        <v>12.600000000000001</v>
      </c>
      <c r="M15" s="321">
        <f t="shared" si="7"/>
        <v>7.862400000000001</v>
      </c>
      <c r="N15" s="320">
        <f t="shared" si="8"/>
        <v>1.4999999999999998</v>
      </c>
      <c r="O15" s="324">
        <f t="shared" si="9"/>
        <v>0.0375</v>
      </c>
      <c r="P15" s="542">
        <v>0.154</v>
      </c>
      <c r="Q15" s="540">
        <v>0.624</v>
      </c>
    </row>
    <row r="16" spans="1:17" ht="13.5">
      <c r="A16" s="327" t="s">
        <v>349</v>
      </c>
      <c r="B16" s="328">
        <v>0.15</v>
      </c>
      <c r="C16" s="328">
        <v>0.3</v>
      </c>
      <c r="D16" s="328">
        <v>1.5</v>
      </c>
      <c r="E16" s="329">
        <f t="shared" si="0"/>
        <v>0.06749999999999999</v>
      </c>
      <c r="F16" s="330">
        <f t="shared" si="1"/>
        <v>15</v>
      </c>
      <c r="G16" s="328">
        <f t="shared" si="2"/>
        <v>0.8999999999999999</v>
      </c>
      <c r="H16" s="328">
        <f t="shared" si="3"/>
        <v>13.499999999999998</v>
      </c>
      <c r="I16" s="329">
        <f t="shared" si="4"/>
        <v>2.0789999999999997</v>
      </c>
      <c r="J16" s="331">
        <v>6</v>
      </c>
      <c r="K16" s="328">
        <f t="shared" si="5"/>
        <v>2.1</v>
      </c>
      <c r="L16" s="328">
        <f t="shared" si="6"/>
        <v>12.600000000000001</v>
      </c>
      <c r="M16" s="329">
        <f t="shared" si="7"/>
        <v>7.862400000000001</v>
      </c>
      <c r="N16" s="328">
        <f t="shared" si="8"/>
        <v>1.4999999999999998</v>
      </c>
      <c r="O16" s="332">
        <f t="shared" si="9"/>
        <v>0.0375</v>
      </c>
      <c r="P16" s="542">
        <v>0.154</v>
      </c>
      <c r="Q16" s="540">
        <v>0.624</v>
      </c>
    </row>
    <row r="17" spans="1:17" ht="13.5">
      <c r="A17" s="319" t="s">
        <v>350</v>
      </c>
      <c r="B17" s="320">
        <v>0.15</v>
      </c>
      <c r="C17" s="320">
        <v>0.3</v>
      </c>
      <c r="D17" s="320">
        <v>1.5</v>
      </c>
      <c r="E17" s="321">
        <f t="shared" si="0"/>
        <v>0.06749999999999999</v>
      </c>
      <c r="F17" s="322">
        <f t="shared" si="1"/>
        <v>15</v>
      </c>
      <c r="G17" s="320">
        <f t="shared" si="2"/>
        <v>0.8999999999999999</v>
      </c>
      <c r="H17" s="320">
        <f t="shared" si="3"/>
        <v>13.499999999999998</v>
      </c>
      <c r="I17" s="321">
        <f t="shared" si="4"/>
        <v>2.0789999999999997</v>
      </c>
      <c r="J17" s="323">
        <v>6</v>
      </c>
      <c r="K17" s="320">
        <f t="shared" si="5"/>
        <v>2.1</v>
      </c>
      <c r="L17" s="320">
        <f t="shared" si="6"/>
        <v>12.600000000000001</v>
      </c>
      <c r="M17" s="321">
        <f t="shared" si="7"/>
        <v>7.862400000000001</v>
      </c>
      <c r="N17" s="320">
        <f t="shared" si="8"/>
        <v>1.4999999999999998</v>
      </c>
      <c r="O17" s="324">
        <f t="shared" si="9"/>
        <v>0.0375</v>
      </c>
      <c r="P17" s="542">
        <v>0.154</v>
      </c>
      <c r="Q17" s="540">
        <v>0.624</v>
      </c>
    </row>
    <row r="18" spans="1:17" ht="13.5">
      <c r="A18" s="327" t="s">
        <v>351</v>
      </c>
      <c r="B18" s="328">
        <v>0.15</v>
      </c>
      <c r="C18" s="328">
        <v>0.3</v>
      </c>
      <c r="D18" s="328">
        <v>1.5</v>
      </c>
      <c r="E18" s="329">
        <f t="shared" si="0"/>
        <v>0.06749999999999999</v>
      </c>
      <c r="F18" s="330">
        <f t="shared" si="1"/>
        <v>15</v>
      </c>
      <c r="G18" s="328">
        <f t="shared" si="2"/>
        <v>0.8999999999999999</v>
      </c>
      <c r="H18" s="328">
        <f t="shared" si="3"/>
        <v>13.499999999999998</v>
      </c>
      <c r="I18" s="329">
        <f t="shared" si="4"/>
        <v>2.0789999999999997</v>
      </c>
      <c r="J18" s="331">
        <v>6</v>
      </c>
      <c r="K18" s="328">
        <f t="shared" si="5"/>
        <v>2.1</v>
      </c>
      <c r="L18" s="328">
        <f t="shared" si="6"/>
        <v>12.600000000000001</v>
      </c>
      <c r="M18" s="329">
        <f t="shared" si="7"/>
        <v>7.862400000000001</v>
      </c>
      <c r="N18" s="328">
        <f t="shared" si="8"/>
        <v>1.4999999999999998</v>
      </c>
      <c r="O18" s="332">
        <f t="shared" si="9"/>
        <v>0.0375</v>
      </c>
      <c r="P18" s="542">
        <v>0.154</v>
      </c>
      <c r="Q18" s="540">
        <v>0.624</v>
      </c>
    </row>
    <row r="19" spans="1:17" ht="14.25" thickBot="1">
      <c r="A19" s="1131" t="s">
        <v>282</v>
      </c>
      <c r="B19" s="1132"/>
      <c r="C19" s="1132"/>
      <c r="D19" s="333" t="s">
        <v>283</v>
      </c>
      <c r="E19" s="334">
        <f>SUM(E6:E18)</f>
        <v>0.8775</v>
      </c>
      <c r="F19" s="334">
        <f>SUM(F6:F18)</f>
        <v>195</v>
      </c>
      <c r="G19" s="335" t="s">
        <v>283</v>
      </c>
      <c r="H19" s="334">
        <f>SUM(H6:H18)</f>
        <v>175.49999999999997</v>
      </c>
      <c r="I19" s="334">
        <f>SUM(I6:I18)</f>
        <v>27.027000000000005</v>
      </c>
      <c r="J19" s="334">
        <f>SUM(J6:J18)</f>
        <v>78</v>
      </c>
      <c r="K19" s="335" t="s">
        <v>283</v>
      </c>
      <c r="L19" s="334">
        <f>SUM(L6:L18)</f>
        <v>163.79999999999998</v>
      </c>
      <c r="M19" s="334">
        <f>SUM(M6:M18)</f>
        <v>102.21120000000005</v>
      </c>
      <c r="N19" s="334">
        <f>SUM(N6:N18)</f>
        <v>19.499999999999996</v>
      </c>
      <c r="O19" s="334">
        <f>SUM(O6:O18)</f>
        <v>0.4874999999999999</v>
      </c>
      <c r="P19" s="264"/>
      <c r="Q19" s="264"/>
    </row>
    <row r="20" spans="16:17" ht="13.5">
      <c r="P20" s="325"/>
      <c r="Q20" s="326"/>
    </row>
    <row r="21" spans="16:17" ht="13.5">
      <c r="P21" s="325"/>
      <c r="Q21" s="326"/>
    </row>
    <row r="22" spans="16:17" ht="13.5">
      <c r="P22" s="325"/>
      <c r="Q22" s="326"/>
    </row>
    <row r="23" spans="16:17" ht="13.5">
      <c r="P23" s="325"/>
      <c r="Q23" s="326"/>
    </row>
    <row r="24" spans="16:17" ht="13.5">
      <c r="P24" s="325"/>
      <c r="Q24" s="326"/>
    </row>
    <row r="25" spans="16:17" ht="13.5">
      <c r="P25" s="325"/>
      <c r="Q25" s="326"/>
    </row>
    <row r="26" spans="16:17" ht="13.5">
      <c r="P26" s="325"/>
      <c r="Q26" s="326"/>
    </row>
    <row r="27" spans="16:17" ht="13.5">
      <c r="P27" s="325"/>
      <c r="Q27" s="326"/>
    </row>
    <row r="28" spans="16:17" ht="13.5">
      <c r="P28" s="325"/>
      <c r="Q28" s="326"/>
    </row>
    <row r="29" spans="16:17" ht="13.5">
      <c r="P29" s="325"/>
      <c r="Q29" s="326"/>
    </row>
    <row r="30" spans="16:17" ht="13.5">
      <c r="P30" s="325"/>
      <c r="Q30" s="326"/>
    </row>
    <row r="31" spans="16:17" ht="13.5">
      <c r="P31" s="325"/>
      <c r="Q31" s="326"/>
    </row>
  </sheetData>
  <sheetProtection selectLockedCells="1" selectUnlockedCells="1"/>
  <mergeCells count="16">
    <mergeCell ref="B2:E2"/>
    <mergeCell ref="S1:W1"/>
    <mergeCell ref="E3:E5"/>
    <mergeCell ref="G4:G5"/>
    <mergeCell ref="H4:I4"/>
    <mergeCell ref="J3:M3"/>
    <mergeCell ref="A19:C19"/>
    <mergeCell ref="AC1:AG1"/>
    <mergeCell ref="N2:O4"/>
    <mergeCell ref="F3:I3"/>
    <mergeCell ref="L4:M4"/>
    <mergeCell ref="F2:M2"/>
    <mergeCell ref="A2:A5"/>
    <mergeCell ref="A1:O1"/>
    <mergeCell ref="B4:C4"/>
    <mergeCell ref="B3:D3"/>
  </mergeCells>
  <printOptions/>
  <pageMargins left="0.4330708661417323" right="0.15748031496062992" top="0.5118110236220472" bottom="0.31496062992125984" header="0.2362204724409449" footer="0.2362204724409449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1"/>
  </sheetPr>
  <dimension ref="A1:AG19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3.28125" style="310" bestFit="1" customWidth="1"/>
    <col min="2" max="3" width="3.57421875" style="264" bestFit="1" customWidth="1"/>
    <col min="4" max="4" width="5.28125" style="264" bestFit="1" customWidth="1"/>
    <col min="5" max="5" width="7.8515625" style="264" customWidth="1"/>
    <col min="6" max="6" width="9.28125" style="264" bestFit="1" customWidth="1"/>
    <col min="7" max="7" width="7.7109375" style="264" customWidth="1"/>
    <col min="8" max="8" width="5.7109375" style="264" bestFit="1" customWidth="1"/>
    <col min="9" max="9" width="6.57421875" style="264" bestFit="1" customWidth="1"/>
    <col min="10" max="10" width="9.28125" style="311" bestFit="1" customWidth="1"/>
    <col min="11" max="11" width="7.00390625" style="264" bestFit="1" customWidth="1"/>
    <col min="12" max="12" width="5.7109375" style="264" bestFit="1" customWidth="1"/>
    <col min="13" max="13" width="6.57421875" style="264" bestFit="1" customWidth="1"/>
    <col min="14" max="15" width="5.7109375" style="264" bestFit="1" customWidth="1"/>
    <col min="16" max="16" width="9.140625" style="312" customWidth="1"/>
    <col min="17" max="17" width="9.140625" style="313" customWidth="1"/>
    <col min="18" max="18" width="9.140625" style="264" customWidth="1"/>
    <col min="19" max="19" width="7.7109375" style="264" bestFit="1" customWidth="1"/>
    <col min="20" max="20" width="10.28125" style="264" bestFit="1" customWidth="1"/>
    <col min="21" max="21" width="8.7109375" style="264" bestFit="1" customWidth="1"/>
    <col min="22" max="22" width="15.28125" style="264" bestFit="1" customWidth="1"/>
    <col min="23" max="23" width="9.28125" style="264" bestFit="1" customWidth="1"/>
    <col min="24" max="28" width="9.140625" style="264" customWidth="1"/>
    <col min="29" max="29" width="7.7109375" style="264" bestFit="1" customWidth="1"/>
    <col min="30" max="30" width="10.140625" style="264" bestFit="1" customWidth="1"/>
    <col min="31" max="31" width="8.421875" style="264" bestFit="1" customWidth="1"/>
    <col min="32" max="32" width="15.140625" style="264" customWidth="1"/>
    <col min="33" max="16384" width="9.140625" style="264" customWidth="1"/>
  </cols>
  <sheetData>
    <row r="1" spans="1:33" s="317" customFormat="1" ht="18.75" thickBot="1">
      <c r="A1" s="1123" t="s">
        <v>300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5"/>
      <c r="P1" s="314"/>
      <c r="Q1" s="315"/>
      <c r="R1" s="316"/>
      <c r="S1" s="1127"/>
      <c r="T1" s="1127"/>
      <c r="U1" s="1127"/>
      <c r="V1" s="1127"/>
      <c r="W1" s="1127"/>
      <c r="X1" s="316"/>
      <c r="Y1" s="316"/>
      <c r="Z1" s="316"/>
      <c r="AA1" s="316"/>
      <c r="AB1" s="316"/>
      <c r="AC1" s="1127"/>
      <c r="AD1" s="1127"/>
      <c r="AE1" s="1127"/>
      <c r="AF1" s="1127"/>
      <c r="AG1" s="1127"/>
    </row>
    <row r="2" spans="1:33" s="269" customFormat="1" ht="12.75">
      <c r="A2" s="1120" t="s">
        <v>258</v>
      </c>
      <c r="B2" s="1126" t="s">
        <v>259</v>
      </c>
      <c r="C2" s="1126"/>
      <c r="D2" s="1126"/>
      <c r="E2" s="1126"/>
      <c r="F2" s="1126" t="s">
        <v>260</v>
      </c>
      <c r="G2" s="1126"/>
      <c r="H2" s="1126"/>
      <c r="I2" s="1126"/>
      <c r="J2" s="1126"/>
      <c r="K2" s="1126"/>
      <c r="L2" s="1126"/>
      <c r="M2" s="1126"/>
      <c r="N2" s="1126" t="s">
        <v>261</v>
      </c>
      <c r="O2" s="1133"/>
      <c r="P2" s="266"/>
      <c r="Q2" s="267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</row>
    <row r="3" spans="1:33" s="269" customFormat="1" ht="12.75">
      <c r="A3" s="1121"/>
      <c r="B3" s="1099" t="s">
        <v>239</v>
      </c>
      <c r="C3" s="1099"/>
      <c r="D3" s="1099"/>
      <c r="E3" s="1128" t="s">
        <v>285</v>
      </c>
      <c r="F3" s="1099" t="s">
        <v>286</v>
      </c>
      <c r="G3" s="1099"/>
      <c r="H3" s="1099"/>
      <c r="I3" s="1099"/>
      <c r="J3" s="1103" t="s">
        <v>264</v>
      </c>
      <c r="K3" s="1104"/>
      <c r="L3" s="1104"/>
      <c r="M3" s="1105"/>
      <c r="N3" s="1099"/>
      <c r="O3" s="1134"/>
      <c r="P3" s="266"/>
      <c r="Q3" s="267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</row>
    <row r="4" spans="1:33" s="273" customFormat="1" ht="25.5">
      <c r="A4" s="1121"/>
      <c r="B4" s="1099" t="s">
        <v>287</v>
      </c>
      <c r="C4" s="1099"/>
      <c r="D4" s="270" t="s">
        <v>288</v>
      </c>
      <c r="E4" s="1129"/>
      <c r="F4" s="270" t="s">
        <v>289</v>
      </c>
      <c r="G4" s="1099" t="s">
        <v>290</v>
      </c>
      <c r="H4" s="1099" t="s">
        <v>291</v>
      </c>
      <c r="I4" s="1099"/>
      <c r="J4" s="270" t="s">
        <v>292</v>
      </c>
      <c r="K4" s="318" t="s">
        <v>290</v>
      </c>
      <c r="L4" s="1099" t="s">
        <v>293</v>
      </c>
      <c r="M4" s="1099"/>
      <c r="N4" s="1099"/>
      <c r="O4" s="1134"/>
      <c r="P4" s="271"/>
      <c r="Q4" s="272"/>
      <c r="S4" s="274"/>
      <c r="T4" s="275"/>
      <c r="U4" s="275"/>
      <c r="V4" s="275"/>
      <c r="W4" s="275"/>
      <c r="AC4" s="274"/>
      <c r="AD4" s="275"/>
      <c r="AE4" s="275"/>
      <c r="AF4" s="275"/>
      <c r="AG4" s="275"/>
    </row>
    <row r="5" spans="1:33" s="273" customFormat="1" ht="13.5" thickBot="1">
      <c r="A5" s="1122"/>
      <c r="B5" s="276" t="s">
        <v>271</v>
      </c>
      <c r="C5" s="276" t="s">
        <v>272</v>
      </c>
      <c r="D5" s="277">
        <v>1</v>
      </c>
      <c r="E5" s="1130"/>
      <c r="F5" s="276" t="s">
        <v>294</v>
      </c>
      <c r="G5" s="1109"/>
      <c r="H5" s="276" t="s">
        <v>276</v>
      </c>
      <c r="I5" s="276" t="s">
        <v>277</v>
      </c>
      <c r="J5" s="278" t="s">
        <v>275</v>
      </c>
      <c r="K5" s="276" t="s">
        <v>295</v>
      </c>
      <c r="L5" s="278" t="s">
        <v>276</v>
      </c>
      <c r="M5" s="278" t="s">
        <v>277</v>
      </c>
      <c r="N5" s="276" t="s">
        <v>278</v>
      </c>
      <c r="O5" s="279" t="s">
        <v>279</v>
      </c>
      <c r="P5" s="271"/>
      <c r="Q5" s="272"/>
      <c r="S5" s="274"/>
      <c r="T5" s="275"/>
      <c r="U5" s="275"/>
      <c r="V5" s="275"/>
      <c r="W5" s="275"/>
      <c r="AC5" s="274"/>
      <c r="AD5" s="275"/>
      <c r="AE5" s="275"/>
      <c r="AF5" s="275"/>
      <c r="AG5" s="275"/>
    </row>
    <row r="6" spans="1:33" s="269" customFormat="1" ht="11.25" customHeight="1">
      <c r="A6" s="327" t="s">
        <v>473</v>
      </c>
      <c r="B6" s="342">
        <v>0.15</v>
      </c>
      <c r="C6" s="342">
        <v>0.3</v>
      </c>
      <c r="D6" s="342">
        <v>4.9</v>
      </c>
      <c r="E6" s="343">
        <f aca="true" t="shared" si="0" ref="E6:E18">(D6)*(B6)*(C6)</f>
        <v>0.2205</v>
      </c>
      <c r="F6" s="344">
        <f aca="true" t="shared" si="1" ref="F6:F18">(D6)/0.15</f>
        <v>32.66666666666667</v>
      </c>
      <c r="G6" s="342">
        <f aca="true" t="shared" si="2" ref="G6:G18">B6*2+C6*2</f>
        <v>0.8999999999999999</v>
      </c>
      <c r="H6" s="342">
        <f aca="true" t="shared" si="3" ref="H6:H18">G6*F6</f>
        <v>29.400000000000002</v>
      </c>
      <c r="I6" s="343">
        <f aca="true" t="shared" si="4" ref="I6:I18">H6*P6</f>
        <v>4.5276000000000005</v>
      </c>
      <c r="J6" s="345">
        <v>6</v>
      </c>
      <c r="K6" s="342">
        <f aca="true" t="shared" si="5" ref="K6:K18">D6+0.6</f>
        <v>5.5</v>
      </c>
      <c r="L6" s="342">
        <f aca="true" t="shared" si="6" ref="L6:L18">(J6)*K6</f>
        <v>33</v>
      </c>
      <c r="M6" s="343">
        <f aca="true" t="shared" si="7" ref="M6:M18">L6*Q6</f>
        <v>20.592</v>
      </c>
      <c r="N6" s="342">
        <f aca="true" t="shared" si="8" ref="N6:N18">(B6+C6+0.05)*2*(D6)</f>
        <v>4.8999999999999995</v>
      </c>
      <c r="O6" s="346">
        <f aca="true" t="shared" si="9" ref="O6:O18">N6*0.025</f>
        <v>0.1225</v>
      </c>
      <c r="P6" s="542">
        <v>0.154</v>
      </c>
      <c r="Q6" s="540">
        <v>0.624</v>
      </c>
      <c r="R6" s="347"/>
      <c r="S6" s="336"/>
      <c r="W6" s="337"/>
      <c r="AC6" s="336"/>
      <c r="AG6" s="337"/>
    </row>
    <row r="7" spans="1:33" s="269" customFormat="1" ht="11.25" customHeight="1">
      <c r="A7" s="319" t="s">
        <v>474</v>
      </c>
      <c r="B7" s="320">
        <v>0.15</v>
      </c>
      <c r="C7" s="320">
        <v>0.3</v>
      </c>
      <c r="D7" s="320">
        <v>5.1</v>
      </c>
      <c r="E7" s="321">
        <f t="shared" si="0"/>
        <v>0.22949999999999995</v>
      </c>
      <c r="F7" s="322">
        <f t="shared" si="1"/>
        <v>34</v>
      </c>
      <c r="G7" s="320">
        <f t="shared" si="2"/>
        <v>0.8999999999999999</v>
      </c>
      <c r="H7" s="320">
        <f t="shared" si="3"/>
        <v>30.599999999999998</v>
      </c>
      <c r="I7" s="321">
        <f t="shared" si="4"/>
        <v>4.7124</v>
      </c>
      <c r="J7" s="323">
        <v>6</v>
      </c>
      <c r="K7" s="320">
        <f t="shared" si="5"/>
        <v>5.699999999999999</v>
      </c>
      <c r="L7" s="320">
        <f t="shared" si="6"/>
        <v>34.199999999999996</v>
      </c>
      <c r="M7" s="321">
        <f t="shared" si="7"/>
        <v>21.340799999999998</v>
      </c>
      <c r="N7" s="320">
        <f t="shared" si="8"/>
        <v>5.099999999999999</v>
      </c>
      <c r="O7" s="324">
        <f t="shared" si="9"/>
        <v>0.12749999999999997</v>
      </c>
      <c r="P7" s="542">
        <v>0.154</v>
      </c>
      <c r="Q7" s="540">
        <v>0.624</v>
      </c>
      <c r="R7" s="348"/>
      <c r="S7" s="336"/>
      <c r="W7" s="337"/>
      <c r="AC7" s="336"/>
      <c r="AG7" s="337"/>
    </row>
    <row r="8" spans="1:33" s="269" customFormat="1" ht="11.25" customHeight="1">
      <c r="A8" s="327" t="s">
        <v>475</v>
      </c>
      <c r="B8" s="328">
        <v>0.15</v>
      </c>
      <c r="C8" s="328">
        <v>0.3</v>
      </c>
      <c r="D8" s="328">
        <v>5.2</v>
      </c>
      <c r="E8" s="329">
        <f t="shared" si="0"/>
        <v>0.23399999999999999</v>
      </c>
      <c r="F8" s="330">
        <f t="shared" si="1"/>
        <v>34.66666666666667</v>
      </c>
      <c r="G8" s="328">
        <f t="shared" si="2"/>
        <v>0.8999999999999999</v>
      </c>
      <c r="H8" s="328">
        <f t="shared" si="3"/>
        <v>31.200000000000003</v>
      </c>
      <c r="I8" s="329">
        <f t="shared" si="4"/>
        <v>4.8048</v>
      </c>
      <c r="J8" s="331">
        <v>6</v>
      </c>
      <c r="K8" s="328">
        <f t="shared" si="5"/>
        <v>5.8</v>
      </c>
      <c r="L8" s="328">
        <f t="shared" si="6"/>
        <v>34.8</v>
      </c>
      <c r="M8" s="329">
        <f t="shared" si="7"/>
        <v>21.7152</v>
      </c>
      <c r="N8" s="328">
        <f t="shared" si="8"/>
        <v>5.199999999999999</v>
      </c>
      <c r="O8" s="332">
        <f t="shared" si="9"/>
        <v>0.12999999999999998</v>
      </c>
      <c r="P8" s="542">
        <v>0.154</v>
      </c>
      <c r="Q8" s="540">
        <v>0.624</v>
      </c>
      <c r="S8" s="336"/>
      <c r="W8" s="337"/>
      <c r="AC8" s="336"/>
      <c r="AG8" s="337"/>
    </row>
    <row r="9" spans="1:33" s="269" customFormat="1" ht="11.25" customHeight="1">
      <c r="A9" s="319" t="s">
        <v>476</v>
      </c>
      <c r="B9" s="320">
        <v>0.15</v>
      </c>
      <c r="C9" s="320">
        <v>0.3</v>
      </c>
      <c r="D9" s="320">
        <v>5.4</v>
      </c>
      <c r="E9" s="321">
        <f t="shared" si="0"/>
        <v>0.243</v>
      </c>
      <c r="F9" s="322">
        <f t="shared" si="1"/>
        <v>36.00000000000001</v>
      </c>
      <c r="G9" s="320">
        <f t="shared" si="2"/>
        <v>0.8999999999999999</v>
      </c>
      <c r="H9" s="320">
        <f t="shared" si="3"/>
        <v>32.400000000000006</v>
      </c>
      <c r="I9" s="321">
        <f t="shared" si="4"/>
        <v>4.989600000000001</v>
      </c>
      <c r="J9" s="323">
        <v>6</v>
      </c>
      <c r="K9" s="320">
        <f t="shared" si="5"/>
        <v>6</v>
      </c>
      <c r="L9" s="320">
        <f t="shared" si="6"/>
        <v>36</v>
      </c>
      <c r="M9" s="321">
        <f t="shared" si="7"/>
        <v>22.464</v>
      </c>
      <c r="N9" s="320">
        <f t="shared" si="8"/>
        <v>5.3999999999999995</v>
      </c>
      <c r="O9" s="324">
        <f t="shared" si="9"/>
        <v>0.13499999999999998</v>
      </c>
      <c r="P9" s="542">
        <v>0.154</v>
      </c>
      <c r="Q9" s="540">
        <v>0.624</v>
      </c>
      <c r="S9" s="336"/>
      <c r="W9" s="337"/>
      <c r="AC9" s="336"/>
      <c r="AG9" s="337"/>
    </row>
    <row r="10" spans="1:33" s="269" customFormat="1" ht="11.25" customHeight="1">
      <c r="A10" s="327" t="s">
        <v>477</v>
      </c>
      <c r="B10" s="328">
        <v>0.15</v>
      </c>
      <c r="C10" s="328">
        <v>0.3</v>
      </c>
      <c r="D10" s="328">
        <v>5.5</v>
      </c>
      <c r="E10" s="329">
        <f t="shared" si="0"/>
        <v>0.24749999999999997</v>
      </c>
      <c r="F10" s="330">
        <f t="shared" si="1"/>
        <v>36.66666666666667</v>
      </c>
      <c r="G10" s="328">
        <f t="shared" si="2"/>
        <v>0.8999999999999999</v>
      </c>
      <c r="H10" s="328">
        <f t="shared" si="3"/>
        <v>33</v>
      </c>
      <c r="I10" s="329">
        <f t="shared" si="4"/>
        <v>5.082</v>
      </c>
      <c r="J10" s="331">
        <v>6</v>
      </c>
      <c r="K10" s="328">
        <f t="shared" si="5"/>
        <v>6.1</v>
      </c>
      <c r="L10" s="328">
        <f t="shared" si="6"/>
        <v>36.599999999999994</v>
      </c>
      <c r="M10" s="329">
        <f t="shared" si="7"/>
        <v>22.838399999999996</v>
      </c>
      <c r="N10" s="328">
        <f t="shared" si="8"/>
        <v>5.499999999999999</v>
      </c>
      <c r="O10" s="332">
        <f t="shared" si="9"/>
        <v>0.13749999999999998</v>
      </c>
      <c r="P10" s="542">
        <v>0.154</v>
      </c>
      <c r="Q10" s="540">
        <v>0.624</v>
      </c>
      <c r="S10" s="336"/>
      <c r="W10" s="337"/>
      <c r="AC10" s="336"/>
      <c r="AG10" s="337"/>
    </row>
    <row r="11" spans="1:33" s="269" customFormat="1" ht="11.25" customHeight="1">
      <c r="A11" s="319" t="s">
        <v>478</v>
      </c>
      <c r="B11" s="320">
        <v>0.15</v>
      </c>
      <c r="C11" s="320">
        <v>0.3</v>
      </c>
      <c r="D11" s="320">
        <v>6.6</v>
      </c>
      <c r="E11" s="321">
        <f t="shared" si="0"/>
        <v>0.29699999999999993</v>
      </c>
      <c r="F11" s="322">
        <f t="shared" si="1"/>
        <v>44</v>
      </c>
      <c r="G11" s="320">
        <f t="shared" si="2"/>
        <v>0.8999999999999999</v>
      </c>
      <c r="H11" s="320">
        <f t="shared" si="3"/>
        <v>39.599999999999994</v>
      </c>
      <c r="I11" s="321">
        <f t="shared" si="4"/>
        <v>6.098399999999999</v>
      </c>
      <c r="J11" s="323">
        <v>6</v>
      </c>
      <c r="K11" s="320">
        <f t="shared" si="5"/>
        <v>7.199999999999999</v>
      </c>
      <c r="L11" s="320">
        <f t="shared" si="6"/>
        <v>43.199999999999996</v>
      </c>
      <c r="M11" s="321">
        <f t="shared" si="7"/>
        <v>26.956799999999998</v>
      </c>
      <c r="N11" s="320">
        <f t="shared" si="8"/>
        <v>6.599999999999999</v>
      </c>
      <c r="O11" s="324">
        <f t="shared" si="9"/>
        <v>0.16499999999999998</v>
      </c>
      <c r="P11" s="542">
        <v>0.154</v>
      </c>
      <c r="Q11" s="540">
        <v>0.624</v>
      </c>
      <c r="S11" s="336"/>
      <c r="W11" s="337"/>
      <c r="AC11" s="336"/>
      <c r="AG11" s="337"/>
    </row>
    <row r="12" spans="1:33" s="269" customFormat="1" ht="11.25" customHeight="1">
      <c r="A12" s="327" t="s">
        <v>479</v>
      </c>
      <c r="B12" s="328">
        <v>0.15</v>
      </c>
      <c r="C12" s="328">
        <v>0.3</v>
      </c>
      <c r="D12" s="328">
        <v>7.7</v>
      </c>
      <c r="E12" s="329">
        <f t="shared" si="0"/>
        <v>0.3465</v>
      </c>
      <c r="F12" s="330">
        <f t="shared" si="1"/>
        <v>51.333333333333336</v>
      </c>
      <c r="G12" s="328">
        <f t="shared" si="2"/>
        <v>0.8999999999999999</v>
      </c>
      <c r="H12" s="328">
        <f t="shared" si="3"/>
        <v>46.199999999999996</v>
      </c>
      <c r="I12" s="329">
        <f t="shared" si="4"/>
        <v>7.114799999999999</v>
      </c>
      <c r="J12" s="331">
        <v>6</v>
      </c>
      <c r="K12" s="328">
        <f t="shared" si="5"/>
        <v>8.3</v>
      </c>
      <c r="L12" s="328">
        <f t="shared" si="6"/>
        <v>49.800000000000004</v>
      </c>
      <c r="M12" s="329">
        <f t="shared" si="7"/>
        <v>31.075200000000002</v>
      </c>
      <c r="N12" s="328">
        <f t="shared" si="8"/>
        <v>7.699999999999999</v>
      </c>
      <c r="O12" s="332">
        <f t="shared" si="9"/>
        <v>0.1925</v>
      </c>
      <c r="P12" s="542">
        <v>0.154</v>
      </c>
      <c r="Q12" s="540">
        <v>0.624</v>
      </c>
      <c r="S12" s="336"/>
      <c r="W12" s="337"/>
      <c r="AC12" s="336"/>
      <c r="AG12" s="337"/>
    </row>
    <row r="13" spans="1:33" s="269" customFormat="1" ht="11.25" customHeight="1">
      <c r="A13" s="319" t="s">
        <v>480</v>
      </c>
      <c r="B13" s="320">
        <v>0.15</v>
      </c>
      <c r="C13" s="320">
        <v>0.3</v>
      </c>
      <c r="D13" s="320">
        <v>2.8</v>
      </c>
      <c r="E13" s="321">
        <f t="shared" si="0"/>
        <v>0.126</v>
      </c>
      <c r="F13" s="322">
        <f t="shared" si="1"/>
        <v>18.666666666666668</v>
      </c>
      <c r="G13" s="320">
        <f t="shared" si="2"/>
        <v>0.8999999999999999</v>
      </c>
      <c r="H13" s="320">
        <f t="shared" si="3"/>
        <v>16.8</v>
      </c>
      <c r="I13" s="321">
        <f t="shared" si="4"/>
        <v>2.5872</v>
      </c>
      <c r="J13" s="323">
        <v>6</v>
      </c>
      <c r="K13" s="320">
        <f t="shared" si="5"/>
        <v>3.4</v>
      </c>
      <c r="L13" s="320">
        <f t="shared" si="6"/>
        <v>20.4</v>
      </c>
      <c r="M13" s="321">
        <f t="shared" si="7"/>
        <v>12.7296</v>
      </c>
      <c r="N13" s="320">
        <f t="shared" si="8"/>
        <v>2.7999999999999994</v>
      </c>
      <c r="O13" s="324">
        <f t="shared" si="9"/>
        <v>0.06999999999999999</v>
      </c>
      <c r="P13" s="542">
        <v>0.154</v>
      </c>
      <c r="Q13" s="540">
        <v>0.624</v>
      </c>
      <c r="S13" s="336"/>
      <c r="W13" s="337"/>
      <c r="AC13" s="336"/>
      <c r="AG13" s="337"/>
    </row>
    <row r="14" spans="1:33" s="269" customFormat="1" ht="11.25" customHeight="1">
      <c r="A14" s="327" t="s">
        <v>347</v>
      </c>
      <c r="B14" s="328">
        <v>0.15</v>
      </c>
      <c r="C14" s="328">
        <v>0.3</v>
      </c>
      <c r="D14" s="328">
        <v>2.8</v>
      </c>
      <c r="E14" s="329">
        <f t="shared" si="0"/>
        <v>0.126</v>
      </c>
      <c r="F14" s="330">
        <f t="shared" si="1"/>
        <v>18.666666666666668</v>
      </c>
      <c r="G14" s="328">
        <f t="shared" si="2"/>
        <v>0.8999999999999999</v>
      </c>
      <c r="H14" s="328">
        <f t="shared" si="3"/>
        <v>16.8</v>
      </c>
      <c r="I14" s="329">
        <f t="shared" si="4"/>
        <v>2.5872</v>
      </c>
      <c r="J14" s="331">
        <v>6</v>
      </c>
      <c r="K14" s="328">
        <f t="shared" si="5"/>
        <v>3.4</v>
      </c>
      <c r="L14" s="328">
        <f t="shared" si="6"/>
        <v>20.4</v>
      </c>
      <c r="M14" s="329">
        <f t="shared" si="7"/>
        <v>12.7296</v>
      </c>
      <c r="N14" s="328">
        <f t="shared" si="8"/>
        <v>2.7999999999999994</v>
      </c>
      <c r="O14" s="332">
        <f t="shared" si="9"/>
        <v>0.06999999999999999</v>
      </c>
      <c r="P14" s="542">
        <v>0.154</v>
      </c>
      <c r="Q14" s="540">
        <v>0.624</v>
      </c>
      <c r="S14" s="336"/>
      <c r="W14" s="337"/>
      <c r="AC14" s="336"/>
      <c r="AG14" s="337"/>
    </row>
    <row r="15" spans="1:33" s="269" customFormat="1" ht="11.25" customHeight="1">
      <c r="A15" s="319" t="s">
        <v>348</v>
      </c>
      <c r="B15" s="320">
        <v>0.15</v>
      </c>
      <c r="C15" s="320">
        <v>0.3</v>
      </c>
      <c r="D15" s="320">
        <v>2.8</v>
      </c>
      <c r="E15" s="321">
        <f t="shared" si="0"/>
        <v>0.126</v>
      </c>
      <c r="F15" s="322">
        <f t="shared" si="1"/>
        <v>18.666666666666668</v>
      </c>
      <c r="G15" s="320">
        <f t="shared" si="2"/>
        <v>0.8999999999999999</v>
      </c>
      <c r="H15" s="320">
        <f t="shared" si="3"/>
        <v>16.8</v>
      </c>
      <c r="I15" s="321">
        <f t="shared" si="4"/>
        <v>2.5872</v>
      </c>
      <c r="J15" s="323">
        <v>6</v>
      </c>
      <c r="K15" s="320">
        <f t="shared" si="5"/>
        <v>3.4</v>
      </c>
      <c r="L15" s="320">
        <f t="shared" si="6"/>
        <v>20.4</v>
      </c>
      <c r="M15" s="321">
        <f t="shared" si="7"/>
        <v>12.7296</v>
      </c>
      <c r="N15" s="320">
        <f t="shared" si="8"/>
        <v>2.7999999999999994</v>
      </c>
      <c r="O15" s="324">
        <f t="shared" si="9"/>
        <v>0.06999999999999999</v>
      </c>
      <c r="P15" s="542">
        <v>0.154</v>
      </c>
      <c r="Q15" s="540">
        <v>0.624</v>
      </c>
      <c r="S15" s="336"/>
      <c r="W15" s="337"/>
      <c r="AC15" s="336"/>
      <c r="AG15" s="337"/>
    </row>
    <row r="16" spans="1:33" s="269" customFormat="1" ht="11.25" customHeight="1">
      <c r="A16" s="327" t="s">
        <v>349</v>
      </c>
      <c r="B16" s="328">
        <v>0.15</v>
      </c>
      <c r="C16" s="328">
        <v>0.3</v>
      </c>
      <c r="D16" s="328">
        <v>2.8</v>
      </c>
      <c r="E16" s="329">
        <f t="shared" si="0"/>
        <v>0.126</v>
      </c>
      <c r="F16" s="330">
        <f t="shared" si="1"/>
        <v>18.666666666666668</v>
      </c>
      <c r="G16" s="328">
        <f t="shared" si="2"/>
        <v>0.8999999999999999</v>
      </c>
      <c r="H16" s="328">
        <f t="shared" si="3"/>
        <v>16.8</v>
      </c>
      <c r="I16" s="329">
        <f t="shared" si="4"/>
        <v>2.5872</v>
      </c>
      <c r="J16" s="331">
        <v>6</v>
      </c>
      <c r="K16" s="328">
        <f t="shared" si="5"/>
        <v>3.4</v>
      </c>
      <c r="L16" s="328">
        <f t="shared" si="6"/>
        <v>20.4</v>
      </c>
      <c r="M16" s="329">
        <f t="shared" si="7"/>
        <v>12.7296</v>
      </c>
      <c r="N16" s="328">
        <f t="shared" si="8"/>
        <v>2.7999999999999994</v>
      </c>
      <c r="O16" s="332">
        <f t="shared" si="9"/>
        <v>0.06999999999999999</v>
      </c>
      <c r="P16" s="542">
        <v>0.154</v>
      </c>
      <c r="Q16" s="540">
        <v>0.624</v>
      </c>
      <c r="S16" s="336"/>
      <c r="W16" s="337"/>
      <c r="AC16" s="336"/>
      <c r="AG16" s="337"/>
    </row>
    <row r="17" spans="1:33" s="269" customFormat="1" ht="11.25" customHeight="1">
      <c r="A17" s="319" t="s">
        <v>350</v>
      </c>
      <c r="B17" s="320">
        <v>0.15</v>
      </c>
      <c r="C17" s="320">
        <v>0.3</v>
      </c>
      <c r="D17" s="320">
        <v>2.8</v>
      </c>
      <c r="E17" s="321">
        <f t="shared" si="0"/>
        <v>0.126</v>
      </c>
      <c r="F17" s="322">
        <f t="shared" si="1"/>
        <v>18.666666666666668</v>
      </c>
      <c r="G17" s="320">
        <f t="shared" si="2"/>
        <v>0.8999999999999999</v>
      </c>
      <c r="H17" s="320">
        <f t="shared" si="3"/>
        <v>16.8</v>
      </c>
      <c r="I17" s="321">
        <f t="shared" si="4"/>
        <v>2.5872</v>
      </c>
      <c r="J17" s="323">
        <v>6</v>
      </c>
      <c r="K17" s="320">
        <f t="shared" si="5"/>
        <v>3.4</v>
      </c>
      <c r="L17" s="320">
        <f t="shared" si="6"/>
        <v>20.4</v>
      </c>
      <c r="M17" s="321">
        <f t="shared" si="7"/>
        <v>12.7296</v>
      </c>
      <c r="N17" s="320">
        <f t="shared" si="8"/>
        <v>2.7999999999999994</v>
      </c>
      <c r="O17" s="324">
        <f t="shared" si="9"/>
        <v>0.06999999999999999</v>
      </c>
      <c r="P17" s="542">
        <v>0.154</v>
      </c>
      <c r="Q17" s="540">
        <v>0.624</v>
      </c>
      <c r="S17" s="336"/>
      <c r="W17" s="337"/>
      <c r="AC17" s="336"/>
      <c r="AG17" s="337"/>
    </row>
    <row r="18" spans="1:33" s="269" customFormat="1" ht="11.25" customHeight="1">
      <c r="A18" s="327" t="s">
        <v>351</v>
      </c>
      <c r="B18" s="328">
        <v>0.15</v>
      </c>
      <c r="C18" s="328">
        <v>0.3</v>
      </c>
      <c r="D18" s="328">
        <v>2.8</v>
      </c>
      <c r="E18" s="329">
        <f t="shared" si="0"/>
        <v>0.126</v>
      </c>
      <c r="F18" s="330">
        <f t="shared" si="1"/>
        <v>18.666666666666668</v>
      </c>
      <c r="G18" s="328">
        <f t="shared" si="2"/>
        <v>0.8999999999999999</v>
      </c>
      <c r="H18" s="328">
        <f t="shared" si="3"/>
        <v>16.8</v>
      </c>
      <c r="I18" s="329">
        <f t="shared" si="4"/>
        <v>2.5872</v>
      </c>
      <c r="J18" s="331">
        <v>6</v>
      </c>
      <c r="K18" s="328">
        <f t="shared" si="5"/>
        <v>3.4</v>
      </c>
      <c r="L18" s="328">
        <f t="shared" si="6"/>
        <v>20.4</v>
      </c>
      <c r="M18" s="329">
        <f t="shared" si="7"/>
        <v>12.7296</v>
      </c>
      <c r="N18" s="328">
        <f t="shared" si="8"/>
        <v>2.7999999999999994</v>
      </c>
      <c r="O18" s="332">
        <f t="shared" si="9"/>
        <v>0.06999999999999999</v>
      </c>
      <c r="P18" s="542">
        <v>0.154</v>
      </c>
      <c r="Q18" s="540">
        <v>0.624</v>
      </c>
      <c r="S18" s="336"/>
      <c r="W18" s="337"/>
      <c r="AC18" s="336"/>
      <c r="AG18" s="337"/>
    </row>
    <row r="19" spans="1:17" ht="14.25" thickBot="1">
      <c r="A19" s="1131" t="s">
        <v>282</v>
      </c>
      <c r="B19" s="1132"/>
      <c r="C19" s="1132"/>
      <c r="D19" s="333" t="s">
        <v>283</v>
      </c>
      <c r="E19" s="334">
        <f>SUM(E6:E18)</f>
        <v>2.5739999999999994</v>
      </c>
      <c r="F19" s="338">
        <f>SUM(F6:F18)</f>
        <v>381.3333333333334</v>
      </c>
      <c r="G19" s="335" t="s">
        <v>283</v>
      </c>
      <c r="H19" s="339">
        <f>SUM(H6:H18)</f>
        <v>343.20000000000005</v>
      </c>
      <c r="I19" s="334">
        <f>SUM(I6:I18)</f>
        <v>52.852800000000016</v>
      </c>
      <c r="J19" s="338">
        <f>SUM(J6:J18)</f>
        <v>78</v>
      </c>
      <c r="K19" s="335" t="s">
        <v>283</v>
      </c>
      <c r="L19" s="335">
        <f>SUM(L6:L18)</f>
        <v>389.99999999999983</v>
      </c>
      <c r="M19" s="334">
        <f>SUM(M6:M18)</f>
        <v>243.36</v>
      </c>
      <c r="N19" s="335">
        <f>SUM(N6:N18)</f>
        <v>57.199999999999974</v>
      </c>
      <c r="O19" s="340">
        <f>SUM(O6:O18)</f>
        <v>1.4300000000000002</v>
      </c>
      <c r="P19" s="308"/>
      <c r="Q19" s="309"/>
    </row>
  </sheetData>
  <sheetProtection selectLockedCells="1" selectUnlockedCells="1"/>
  <mergeCells count="16">
    <mergeCell ref="A19:C19"/>
    <mergeCell ref="AC1:AG1"/>
    <mergeCell ref="N2:O4"/>
    <mergeCell ref="F3:I3"/>
    <mergeCell ref="L4:M4"/>
    <mergeCell ref="F2:M2"/>
    <mergeCell ref="A2:A5"/>
    <mergeCell ref="A1:O1"/>
    <mergeCell ref="B4:C4"/>
    <mergeCell ref="B3:D3"/>
    <mergeCell ref="B2:E2"/>
    <mergeCell ref="S1:W1"/>
    <mergeCell ref="E3:E5"/>
    <mergeCell ref="G4:G5"/>
    <mergeCell ref="H4:I4"/>
    <mergeCell ref="J3:M3"/>
  </mergeCells>
  <printOptions/>
  <pageMargins left="0.4330708661417323" right="0.15748031496062992" top="0.5118110236220472" bottom="0.31496062992125984" header="0.2362204724409449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C4">
      <selection activeCell="C30" sqref="C30"/>
    </sheetView>
  </sheetViews>
  <sheetFormatPr defaultColWidth="9.140625" defaultRowHeight="12.75"/>
  <cols>
    <col min="2" max="2" width="24.8515625" style="0" customWidth="1"/>
    <col min="3" max="3" width="11.28125" style="0" bestFit="1" customWidth="1"/>
    <col min="4" max="4" width="11.28125" style="0" customWidth="1"/>
    <col min="5" max="5" width="9.28125" style="0" bestFit="1" customWidth="1"/>
    <col min="6" max="15" width="11.8515625" style="0" bestFit="1" customWidth="1"/>
    <col min="16" max="16" width="11.28125" style="0" bestFit="1" customWidth="1"/>
    <col min="17" max="17" width="12.7109375" style="0" customWidth="1"/>
  </cols>
  <sheetData>
    <row r="1" spans="1:17" ht="12.75">
      <c r="A1" s="880" t="s">
        <v>969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</row>
    <row r="2" spans="1:17" ht="12.75">
      <c r="A2" s="881"/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</row>
    <row r="3" spans="1:17" ht="12.75">
      <c r="A3" s="881"/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881"/>
    </row>
    <row r="4" spans="1:17" ht="12.75">
      <c r="A4" s="881"/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  <c r="O4" s="881"/>
      <c r="P4" s="881"/>
      <c r="Q4" s="881"/>
    </row>
    <row r="5" spans="1:17" ht="12.75">
      <c r="A5" s="881"/>
      <c r="B5" s="881"/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</row>
    <row r="6" spans="1:17" ht="12.75">
      <c r="A6" s="881"/>
      <c r="B6" s="881"/>
      <c r="C6" s="881"/>
      <c r="D6" s="881"/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81"/>
      <c r="P6" s="881"/>
      <c r="Q6" s="881"/>
    </row>
    <row r="7" spans="1:17" ht="12.75">
      <c r="A7" s="882"/>
      <c r="B7" s="882"/>
      <c r="C7" s="860" t="s">
        <v>970</v>
      </c>
      <c r="D7" s="860"/>
      <c r="E7" s="883" t="s">
        <v>582</v>
      </c>
      <c r="F7" s="883"/>
      <c r="G7" s="883"/>
      <c r="H7" s="883"/>
      <c r="I7" s="883"/>
      <c r="J7" s="883"/>
      <c r="K7" s="883"/>
      <c r="L7" s="883"/>
      <c r="M7" s="883"/>
      <c r="N7" s="884" t="s">
        <v>989</v>
      </c>
      <c r="O7" s="884"/>
      <c r="P7" s="884"/>
      <c r="Q7" s="884"/>
    </row>
    <row r="8" spans="1:17" ht="12.75">
      <c r="A8" s="885" t="s">
        <v>971</v>
      </c>
      <c r="B8" s="885"/>
      <c r="C8" s="860" t="s">
        <v>972</v>
      </c>
      <c r="D8" s="860"/>
      <c r="E8" s="886" t="str">
        <f>'[2]PLANILHA'!B5</f>
        <v>DEPARTAMENTO - VARGEM ALTA - ES.</v>
      </c>
      <c r="F8" s="886"/>
      <c r="G8" s="886"/>
      <c r="H8" s="886"/>
      <c r="I8" s="886"/>
      <c r="J8" s="886"/>
      <c r="K8" s="886"/>
      <c r="L8" s="886"/>
      <c r="M8" s="886"/>
      <c r="N8" s="884"/>
      <c r="O8" s="884"/>
      <c r="P8" s="884"/>
      <c r="Q8" s="884"/>
    </row>
    <row r="9" spans="1:17" ht="12.75">
      <c r="A9" s="882"/>
      <c r="B9" s="882"/>
      <c r="C9" s="860" t="s">
        <v>973</v>
      </c>
      <c r="D9" s="860"/>
      <c r="E9" s="886" t="s">
        <v>974</v>
      </c>
      <c r="F9" s="886"/>
      <c r="G9" s="886"/>
      <c r="H9" s="886"/>
      <c r="I9" s="886"/>
      <c r="J9" s="886"/>
      <c r="K9" s="886"/>
      <c r="L9" s="886"/>
      <c r="M9" s="886"/>
      <c r="N9" s="884"/>
      <c r="O9" s="884"/>
      <c r="P9" s="884"/>
      <c r="Q9" s="884"/>
    </row>
    <row r="10" spans="1:17" ht="15.75">
      <c r="A10" s="675"/>
      <c r="B10" s="675"/>
      <c r="C10" s="682"/>
      <c r="D10" s="682"/>
      <c r="E10" s="682"/>
      <c r="F10" s="682"/>
      <c r="G10" s="683"/>
      <c r="H10" s="683"/>
      <c r="I10" s="683" t="s">
        <v>975</v>
      </c>
      <c r="J10" s="683"/>
      <c r="K10" s="683"/>
      <c r="L10" s="683"/>
      <c r="M10" s="683"/>
      <c r="N10" s="683"/>
      <c r="O10" s="683"/>
      <c r="P10" s="683"/>
      <c r="Q10" s="683"/>
    </row>
    <row r="11" spans="1:17" ht="12.75">
      <c r="A11" s="887" t="s">
        <v>976</v>
      </c>
      <c r="B11" s="887" t="s">
        <v>977</v>
      </c>
      <c r="C11" s="888" t="s">
        <v>978</v>
      </c>
      <c r="D11" s="684" t="s">
        <v>979</v>
      </c>
      <c r="E11" s="888" t="s">
        <v>980</v>
      </c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684" t="s">
        <v>981</v>
      </c>
    </row>
    <row r="12" spans="1:17" ht="12.75">
      <c r="A12" s="887"/>
      <c r="B12" s="887"/>
      <c r="C12" s="888"/>
      <c r="D12" s="684" t="s">
        <v>219</v>
      </c>
      <c r="E12" s="684" t="s">
        <v>982</v>
      </c>
      <c r="F12" s="684" t="s">
        <v>990</v>
      </c>
      <c r="G12" s="684" t="s">
        <v>991</v>
      </c>
      <c r="H12" s="684" t="s">
        <v>992</v>
      </c>
      <c r="I12" s="684" t="s">
        <v>993</v>
      </c>
      <c r="J12" s="684" t="s">
        <v>994</v>
      </c>
      <c r="K12" s="684" t="s">
        <v>995</v>
      </c>
      <c r="L12" s="684" t="s">
        <v>996</v>
      </c>
      <c r="M12" s="684" t="s">
        <v>997</v>
      </c>
      <c r="N12" s="684" t="s">
        <v>998</v>
      </c>
      <c r="O12" s="684" t="s">
        <v>999</v>
      </c>
      <c r="P12" s="684" t="s">
        <v>1000</v>
      </c>
      <c r="Q12" s="684" t="s">
        <v>977</v>
      </c>
    </row>
    <row r="13" spans="1:17" ht="12.75">
      <c r="A13" s="651">
        <v>1</v>
      </c>
      <c r="B13" s="676" t="str">
        <f>'PLANILHA ORÇAMENTÁRIA'!D13</f>
        <v>SERVIÇOS PRELIMINARES</v>
      </c>
      <c r="C13" s="685">
        <f>'PLANILHA ORÇAMENTÁRIA'!H20</f>
        <v>39463.65</v>
      </c>
      <c r="D13" s="686">
        <f>C13*100/C30</f>
        <v>3.591903629601477</v>
      </c>
      <c r="E13" s="686">
        <f>C13</f>
        <v>39463.65</v>
      </c>
      <c r="F13" s="686"/>
      <c r="G13" s="684"/>
      <c r="H13" s="684"/>
      <c r="I13" s="684"/>
      <c r="J13" s="684"/>
      <c r="K13" s="684"/>
      <c r="L13" s="684"/>
      <c r="M13" s="684"/>
      <c r="N13" s="683"/>
      <c r="O13" s="683"/>
      <c r="P13" s="683"/>
      <c r="Q13" s="685">
        <f>SUM(E13:M13)</f>
        <v>39463.65</v>
      </c>
    </row>
    <row r="14" spans="1:17" ht="12.75">
      <c r="A14" s="651">
        <v>2</v>
      </c>
      <c r="B14" s="676" t="str">
        <f>'PLANILHA ORÇAMENTÁRIA'!D21</f>
        <v>INFRA-ESTRUTURA</v>
      </c>
      <c r="C14" s="685">
        <f>'PLANILHA ORÇAMENTÁRIA'!H28</f>
        <v>124136.03000000001</v>
      </c>
      <c r="D14" s="687">
        <f>C14/C30</f>
        <v>0.11298616745316713</v>
      </c>
      <c r="E14" s="686"/>
      <c r="F14" s="686">
        <f>C14/2</f>
        <v>62068.01500000001</v>
      </c>
      <c r="G14" s="686">
        <f>C14/2</f>
        <v>62068.01500000001</v>
      </c>
      <c r="H14" s="686"/>
      <c r="I14" s="686"/>
      <c r="J14" s="686"/>
      <c r="K14" s="686"/>
      <c r="L14" s="686"/>
      <c r="M14" s="686"/>
      <c r="N14" s="688"/>
      <c r="O14" s="688"/>
      <c r="P14" s="688"/>
      <c r="Q14" s="685">
        <f aca="true" t="shared" si="0" ref="Q14:Q29">C14</f>
        <v>124136.03000000001</v>
      </c>
    </row>
    <row r="15" spans="1:17" ht="12.75">
      <c r="A15" s="651">
        <v>3</v>
      </c>
      <c r="B15" s="676" t="str">
        <f>'PLANILHA ORÇAMENTÁRIA'!D29</f>
        <v>SUPERESTRUTURA</v>
      </c>
      <c r="C15" s="685">
        <f>'PLANILHA ORÇAMENTÁRIA'!H39</f>
        <v>107123.06999999999</v>
      </c>
      <c r="D15" s="687">
        <f>C15/C30</f>
        <v>0.09750130663206598</v>
      </c>
      <c r="E15" s="686"/>
      <c r="F15" s="686"/>
      <c r="G15" s="686">
        <f>C15/3</f>
        <v>35707.689999999995</v>
      </c>
      <c r="H15" s="686">
        <f>C15/3</f>
        <v>35707.689999999995</v>
      </c>
      <c r="I15" s="686">
        <f>C15/3</f>
        <v>35707.689999999995</v>
      </c>
      <c r="J15" s="686"/>
      <c r="K15" s="686"/>
      <c r="L15" s="686"/>
      <c r="M15" s="686"/>
      <c r="N15" s="688"/>
      <c r="O15" s="688"/>
      <c r="P15" s="688"/>
      <c r="Q15" s="685">
        <f t="shared" si="0"/>
        <v>107123.06999999999</v>
      </c>
    </row>
    <row r="16" spans="1:17" ht="22.5">
      <c r="A16" s="651">
        <v>4</v>
      </c>
      <c r="B16" s="681" t="str">
        <f>'PLANILHA ORÇAMENTÁRIA'!D40</f>
        <v>ESQUADRIAS DE MADEIRA E METÁLICA</v>
      </c>
      <c r="C16" s="685">
        <f>'PLANILHA ORÇAMENTÁRIA'!H51</f>
        <v>62015.719999999994</v>
      </c>
      <c r="D16" s="687">
        <f>C16/C30</f>
        <v>0.05644548584845773</v>
      </c>
      <c r="E16" s="686"/>
      <c r="F16" s="686"/>
      <c r="G16" s="686"/>
      <c r="H16" s="686"/>
      <c r="I16" s="686"/>
      <c r="J16" s="686"/>
      <c r="K16" s="686">
        <f>C16/3</f>
        <v>20671.906666666666</v>
      </c>
      <c r="L16" s="686">
        <f>C16/3</f>
        <v>20671.906666666666</v>
      </c>
      <c r="M16" s="686">
        <f>C16/3</f>
        <v>20671.906666666666</v>
      </c>
      <c r="N16" s="688"/>
      <c r="O16" s="688"/>
      <c r="P16" s="688"/>
      <c r="Q16" s="685">
        <f t="shared" si="0"/>
        <v>62015.719999999994</v>
      </c>
    </row>
    <row r="17" spans="1:17" ht="12.75">
      <c r="A17" s="651">
        <v>5</v>
      </c>
      <c r="B17" s="676" t="str">
        <f>'PLANILHA ORÇAMENTÁRIA'!D52</f>
        <v>COBERTURA</v>
      </c>
      <c r="C17" s="685">
        <f>'PLANILHA ORÇAMENTÁRIA'!H58</f>
        <v>95896.40000000001</v>
      </c>
      <c r="D17" s="687">
        <f>C17/C30</f>
        <v>0.08728301290572846</v>
      </c>
      <c r="E17" s="686"/>
      <c r="F17" s="686"/>
      <c r="G17" s="686"/>
      <c r="H17" s="686"/>
      <c r="I17" s="686"/>
      <c r="J17" s="686">
        <f>C17</f>
        <v>95896.40000000001</v>
      </c>
      <c r="K17" s="686"/>
      <c r="L17" s="686"/>
      <c r="M17" s="686"/>
      <c r="N17" s="688"/>
      <c r="O17" s="688"/>
      <c r="P17" s="688"/>
      <c r="Q17" s="685">
        <f t="shared" si="0"/>
        <v>95896.40000000001</v>
      </c>
    </row>
    <row r="18" spans="1:17" ht="12.75">
      <c r="A18" s="651">
        <v>6</v>
      </c>
      <c r="B18" s="676" t="str">
        <f>'PLANILHA ORÇAMENTÁRIA'!D59</f>
        <v>IMPERMEABILIZAÇÃO</v>
      </c>
      <c r="C18" s="685">
        <f>'PLANILHA ORÇAMENTÁRIA'!H62</f>
        <v>5551.84</v>
      </c>
      <c r="D18" s="687">
        <f>C18/C30</f>
        <v>0.0050531753263995255</v>
      </c>
      <c r="E18" s="686"/>
      <c r="F18" s="686"/>
      <c r="G18" s="686"/>
      <c r="H18" s="686"/>
      <c r="I18" s="686">
        <f>C18</f>
        <v>5551.84</v>
      </c>
      <c r="J18" s="686"/>
      <c r="K18" s="686"/>
      <c r="L18" s="686"/>
      <c r="M18" s="686"/>
      <c r="N18" s="688"/>
      <c r="O18" s="688"/>
      <c r="P18" s="688"/>
      <c r="Q18" s="685">
        <f t="shared" si="0"/>
        <v>5551.84</v>
      </c>
    </row>
    <row r="19" spans="1:17" ht="12.75">
      <c r="A19" s="651">
        <v>7</v>
      </c>
      <c r="B19" s="676" t="str">
        <f>'PLANILHA ORÇAMENTÁRIA'!D63</f>
        <v>ALVENARIA</v>
      </c>
      <c r="C19" s="685">
        <f>'PLANILHA ORÇAMENTÁRIA'!H66</f>
        <v>44150.119999999995</v>
      </c>
      <c r="D19" s="687">
        <f>C19/C30</f>
        <v>0.04018456890716919</v>
      </c>
      <c r="E19" s="686"/>
      <c r="F19" s="686"/>
      <c r="G19" s="686"/>
      <c r="H19" s="686"/>
      <c r="I19" s="686">
        <f>C19/2</f>
        <v>22075.059999999998</v>
      </c>
      <c r="J19" s="686">
        <f>C19/2</f>
        <v>22075.059999999998</v>
      </c>
      <c r="K19" s="686"/>
      <c r="L19" s="686"/>
      <c r="M19" s="686"/>
      <c r="N19" s="688"/>
      <c r="O19" s="688"/>
      <c r="P19" s="688"/>
      <c r="Q19" s="685">
        <f t="shared" si="0"/>
        <v>44150.119999999995</v>
      </c>
    </row>
    <row r="20" spans="1:17" ht="12.75">
      <c r="A20" s="651">
        <v>8</v>
      </c>
      <c r="B20" s="676" t="str">
        <f>'PLANILHA ORÇAMENTÁRIA'!D67</f>
        <v>REVESTIMENTOS</v>
      </c>
      <c r="C20" s="685">
        <f>'PLANILHA ORÇAMENTÁRIA'!H73</f>
        <v>92923.52</v>
      </c>
      <c r="D20" s="687">
        <f>C20/C30</f>
        <v>0.08457715613313656</v>
      </c>
      <c r="E20" s="686"/>
      <c r="F20" s="686"/>
      <c r="G20" s="686"/>
      <c r="H20" s="686"/>
      <c r="I20" s="686"/>
      <c r="J20" s="686"/>
      <c r="K20" s="686">
        <f>C20/3</f>
        <v>30974.506666666668</v>
      </c>
      <c r="L20" s="686">
        <f>C20/3</f>
        <v>30974.506666666668</v>
      </c>
      <c r="M20" s="686">
        <f>C20/3</f>
        <v>30974.506666666668</v>
      </c>
      <c r="N20" s="688"/>
      <c r="O20" s="688"/>
      <c r="P20" s="688"/>
      <c r="Q20" s="685">
        <f t="shared" si="0"/>
        <v>92923.52</v>
      </c>
    </row>
    <row r="21" spans="1:17" ht="12.75">
      <c r="A21" s="651">
        <v>9</v>
      </c>
      <c r="B21" s="676" t="str">
        <f>'PLANILHA ORÇAMENTÁRIA'!D74</f>
        <v>PAVIMENTAÇÃO</v>
      </c>
      <c r="C21" s="685">
        <f>'PLANILHA ORÇAMENTÁRIA'!H84</f>
        <v>96961.6</v>
      </c>
      <c r="D21" s="687">
        <f>C21/C30</f>
        <v>0.08825253694779032</v>
      </c>
      <c r="E21" s="686"/>
      <c r="F21" s="686"/>
      <c r="G21" s="686"/>
      <c r="H21" s="686"/>
      <c r="I21" s="686"/>
      <c r="J21" s="686">
        <f>C21/2</f>
        <v>48480.8</v>
      </c>
      <c r="K21" s="686">
        <f>C21/2</f>
        <v>48480.8</v>
      </c>
      <c r="L21" s="686"/>
      <c r="M21" s="686"/>
      <c r="N21" s="688"/>
      <c r="O21" s="688"/>
      <c r="P21" s="688"/>
      <c r="Q21" s="685">
        <f t="shared" si="0"/>
        <v>96961.6</v>
      </c>
    </row>
    <row r="22" spans="1:17" ht="12.75">
      <c r="A22" s="651">
        <v>10</v>
      </c>
      <c r="B22" s="676" t="str">
        <f>'PLANILHA ORÇAMENTÁRIA'!D85</f>
        <v>INSTALAÇÃO ELÉTRICA</v>
      </c>
      <c r="C22" s="685">
        <f>'PLANILHA ORÇAMENTÁRIA'!H108</f>
        <v>46996.54999999999</v>
      </c>
      <c r="D22" s="687">
        <f>C22/C30</f>
        <v>0.04277533338242845</v>
      </c>
      <c r="E22" s="686"/>
      <c r="F22" s="686"/>
      <c r="G22" s="686"/>
      <c r="H22" s="686"/>
      <c r="I22" s="686"/>
      <c r="J22" s="686"/>
      <c r="K22" s="686">
        <f>C22/2</f>
        <v>23498.274999999994</v>
      </c>
      <c r="L22" s="686">
        <f>C22/2</f>
        <v>23498.274999999994</v>
      </c>
      <c r="M22" s="686"/>
      <c r="N22" s="688"/>
      <c r="O22" s="688"/>
      <c r="P22" s="688"/>
      <c r="Q22" s="685">
        <f t="shared" si="0"/>
        <v>46996.54999999999</v>
      </c>
    </row>
    <row r="23" spans="1:17" ht="12.75">
      <c r="A23" s="651">
        <v>11</v>
      </c>
      <c r="B23" s="676" t="str">
        <f>'PLANILHA ORÇAMENTÁRIA'!D109</f>
        <v>INSTALAÇÃO HIDROSSANITÁRIA</v>
      </c>
      <c r="C23" s="685">
        <f>'PLANILHA ORÇAMENTÁRIA'!H137</f>
        <v>33495.75</v>
      </c>
      <c r="D23" s="687">
        <f>C23/C30</f>
        <v>0.030487171359269524</v>
      </c>
      <c r="E23" s="686"/>
      <c r="F23" s="686"/>
      <c r="G23" s="686"/>
      <c r="H23" s="686"/>
      <c r="I23" s="686"/>
      <c r="J23" s="686"/>
      <c r="K23" s="686">
        <f>C23/2</f>
        <v>16747.875</v>
      </c>
      <c r="L23" s="686">
        <f>C23/2</f>
        <v>16747.875</v>
      </c>
      <c r="M23" s="686"/>
      <c r="N23" s="688"/>
      <c r="O23" s="688"/>
      <c r="P23" s="688"/>
      <c r="Q23" s="685">
        <f t="shared" si="0"/>
        <v>33495.75</v>
      </c>
    </row>
    <row r="24" spans="1:17" ht="12.75">
      <c r="A24" s="651">
        <v>12</v>
      </c>
      <c r="B24" s="676" t="str">
        <f>'PLANILHA ORÇAMENTÁRIA'!D138</f>
        <v>INSTALAÇÃO DE SPDA</v>
      </c>
      <c r="C24" s="685">
        <f>'PLANILHA ORÇAMENTÁRIA'!H145</f>
        <v>11138.42</v>
      </c>
      <c r="D24" s="687">
        <f>C24/C30</f>
        <v>0.010137970315980828</v>
      </c>
      <c r="E24" s="686"/>
      <c r="F24" s="686"/>
      <c r="G24" s="686"/>
      <c r="H24" s="686"/>
      <c r="I24" s="686"/>
      <c r="J24" s="686"/>
      <c r="K24" s="686"/>
      <c r="L24" s="686">
        <f>C24/2</f>
        <v>5569.21</v>
      </c>
      <c r="M24" s="686">
        <f>C24/2</f>
        <v>5569.21</v>
      </c>
      <c r="N24" s="688"/>
      <c r="O24" s="688"/>
      <c r="P24" s="688"/>
      <c r="Q24" s="685">
        <f t="shared" si="0"/>
        <v>11138.42</v>
      </c>
    </row>
    <row r="25" spans="1:17" ht="33.75">
      <c r="A25" s="651">
        <v>13</v>
      </c>
      <c r="B25" s="681" t="str">
        <f>'PLANILHA ORÇAMENTÁRIA'!D146</f>
        <v>INSTALAÇÃO DE REDE ESTRUTURADA (TELEFONE E LÓGICA)</v>
      </c>
      <c r="C25" s="685">
        <f>'PLANILHA ORÇAMENTÁRIA'!H159</f>
        <v>16374.550000000003</v>
      </c>
      <c r="D25" s="687">
        <f>C25/C30</f>
        <v>0.014903792623868008</v>
      </c>
      <c r="E25" s="686"/>
      <c r="F25" s="686"/>
      <c r="G25" s="686"/>
      <c r="H25" s="686"/>
      <c r="I25" s="686"/>
      <c r="J25" s="686"/>
      <c r="K25" s="686"/>
      <c r="L25" s="686">
        <f>C25/2</f>
        <v>8187.2750000000015</v>
      </c>
      <c r="M25" s="686">
        <f>C25/2</f>
        <v>8187.2750000000015</v>
      </c>
      <c r="N25" s="688"/>
      <c r="O25" s="688"/>
      <c r="P25" s="688"/>
      <c r="Q25" s="685">
        <f t="shared" si="0"/>
        <v>16374.550000000003</v>
      </c>
    </row>
    <row r="26" spans="1:17" ht="12.75">
      <c r="A26" s="651">
        <v>14</v>
      </c>
      <c r="B26" s="676" t="str">
        <f>'PLANILHA ORÇAMENTÁRIA'!D160</f>
        <v>PINTURA</v>
      </c>
      <c r="C26" s="685">
        <f>'PLANILHA ORÇAMENTÁRIA'!H166</f>
        <v>38241.869999999995</v>
      </c>
      <c r="D26" s="687">
        <f>C26/C30</f>
        <v>0.03480699622456306</v>
      </c>
      <c r="E26" s="686"/>
      <c r="F26" s="686"/>
      <c r="G26" s="686"/>
      <c r="H26" s="686"/>
      <c r="I26" s="686"/>
      <c r="J26" s="686"/>
      <c r="K26" s="686"/>
      <c r="L26" s="686"/>
      <c r="M26" s="686"/>
      <c r="N26" s="688">
        <f>C26/2</f>
        <v>19120.934999999998</v>
      </c>
      <c r="O26" s="688">
        <f>C26/2</f>
        <v>19120.934999999998</v>
      </c>
      <c r="P26" s="688"/>
      <c r="Q26" s="685">
        <f t="shared" si="0"/>
        <v>38241.869999999995</v>
      </c>
    </row>
    <row r="27" spans="1:17" ht="12.75">
      <c r="A27" s="651">
        <v>15</v>
      </c>
      <c r="B27" s="676" t="str">
        <f>'PLANILHA ORÇAMENTÁRIA'!D167</f>
        <v>SERVIÇOS COMPLEMENTARES</v>
      </c>
      <c r="C27" s="685">
        <f>'PLANILHA ORÇAMENTÁRIA'!H172</f>
        <v>8490.27</v>
      </c>
      <c r="D27" s="687">
        <f>C27/C30</f>
        <v>0.007727676388092975</v>
      </c>
      <c r="E27" s="686"/>
      <c r="F27" s="686"/>
      <c r="G27" s="686"/>
      <c r="H27" s="686"/>
      <c r="I27" s="686"/>
      <c r="J27" s="686"/>
      <c r="K27" s="686"/>
      <c r="L27" s="686"/>
      <c r="M27" s="686"/>
      <c r="N27" s="688"/>
      <c r="O27" s="688"/>
      <c r="P27" s="688">
        <f>C27</f>
        <v>8490.27</v>
      </c>
      <c r="Q27" s="685">
        <f t="shared" si="0"/>
        <v>8490.27</v>
      </c>
    </row>
    <row r="28" spans="1:17" ht="22.5">
      <c r="A28" s="651">
        <v>16</v>
      </c>
      <c r="B28" s="681" t="str">
        <f>'PLANILHA ORÇAMENTÁRIA'!D173</f>
        <v>SERVIÇOS COMPLEMENTARES EXTERNOS</v>
      </c>
      <c r="C28" s="685">
        <f>'PLANILHA ORÇAMENTÁRIA'!H180</f>
        <v>272856.92</v>
      </c>
      <c r="D28" s="687">
        <f>C28/C30</f>
        <v>0.24834898984505482</v>
      </c>
      <c r="E28" s="686"/>
      <c r="F28" s="686"/>
      <c r="G28" s="686"/>
      <c r="H28" s="686"/>
      <c r="I28" s="686"/>
      <c r="J28" s="686"/>
      <c r="K28" s="686"/>
      <c r="L28" s="686"/>
      <c r="M28" s="686">
        <f>C28/4</f>
        <v>68214.23</v>
      </c>
      <c r="N28" s="688">
        <f>C28/4</f>
        <v>68214.23</v>
      </c>
      <c r="O28" s="688">
        <f>C28/4</f>
        <v>68214.23</v>
      </c>
      <c r="P28" s="688">
        <f>C28/4</f>
        <v>68214.23</v>
      </c>
      <c r="Q28" s="685">
        <f>P28+O28+N28+M28</f>
        <v>272856.92</v>
      </c>
    </row>
    <row r="29" spans="1:17" ht="12.75">
      <c r="A29" s="651">
        <v>17</v>
      </c>
      <c r="B29" s="676" t="str">
        <f>'PLANILHA ORÇAMENTÁRIA'!D181</f>
        <v>LIMPEZA GERAL DA OBRA</v>
      </c>
      <c r="C29" s="685">
        <f>'PLANILHA ORÇAMENTÁRIA'!H183</f>
        <v>2867.15</v>
      </c>
      <c r="D29" s="687">
        <f>C29/C30</f>
        <v>0.0026096234108127035</v>
      </c>
      <c r="E29" s="686"/>
      <c r="F29" s="686"/>
      <c r="G29" s="686"/>
      <c r="H29" s="686"/>
      <c r="I29" s="686"/>
      <c r="J29" s="686"/>
      <c r="K29" s="686"/>
      <c r="L29" s="686"/>
      <c r="M29" s="686"/>
      <c r="N29" s="688"/>
      <c r="O29" s="688"/>
      <c r="P29" s="688">
        <f>C29</f>
        <v>2867.15</v>
      </c>
      <c r="Q29" s="685">
        <f t="shared" si="0"/>
        <v>2867.15</v>
      </c>
    </row>
    <row r="30" spans="1:17" ht="12.75">
      <c r="A30" s="887" t="s">
        <v>983</v>
      </c>
      <c r="B30" s="887"/>
      <c r="C30" s="689">
        <f>SUM(C13:C29)</f>
        <v>1098683.43</v>
      </c>
      <c r="D30" s="686">
        <v>100</v>
      </c>
      <c r="E30" s="686">
        <f>SUM(E13:E29)</f>
        <v>39463.65</v>
      </c>
      <c r="F30" s="686">
        <f>SUM(F13:F29)</f>
        <v>62068.01500000001</v>
      </c>
      <c r="G30" s="686">
        <f>G14+G15</f>
        <v>97775.705</v>
      </c>
      <c r="H30" s="686">
        <f>H15</f>
        <v>35707.689999999995</v>
      </c>
      <c r="I30" s="686">
        <f>I15+I18+I19</f>
        <v>63334.59</v>
      </c>
      <c r="J30" s="686">
        <f>J21+J19+J17</f>
        <v>166452.26</v>
      </c>
      <c r="K30" s="686">
        <f>K23+K22+K21+K20+K16</f>
        <v>140373.36333333334</v>
      </c>
      <c r="L30" s="686">
        <f>L25+L24+L23+L22+L20+L16</f>
        <v>105649.04833333332</v>
      </c>
      <c r="M30" s="686">
        <f>M25+M20+M16+M24+M28</f>
        <v>133617.12833333333</v>
      </c>
      <c r="N30" s="686">
        <f>N26+N28</f>
        <v>87335.165</v>
      </c>
      <c r="O30" s="686">
        <f>O26+O28</f>
        <v>87335.165</v>
      </c>
      <c r="P30" s="686">
        <f>P29+P27+P28</f>
        <v>79571.65</v>
      </c>
      <c r="Q30" s="689">
        <f>SUM(Q13:Q29)</f>
        <v>1098683.43</v>
      </c>
    </row>
    <row r="31" spans="1:17" ht="12.75">
      <c r="A31" s="887" t="s">
        <v>984</v>
      </c>
      <c r="B31" s="887"/>
      <c r="C31" s="688"/>
      <c r="D31" s="683"/>
      <c r="E31" s="686">
        <f>E30</f>
        <v>39463.65</v>
      </c>
      <c r="F31" s="686">
        <f>E31+F30</f>
        <v>101531.66500000001</v>
      </c>
      <c r="G31" s="686">
        <f aca="true" t="shared" si="1" ref="G31:P31">F31+G30</f>
        <v>199307.37</v>
      </c>
      <c r="H31" s="686">
        <f t="shared" si="1"/>
        <v>235015.06</v>
      </c>
      <c r="I31" s="686">
        <f t="shared" si="1"/>
        <v>298349.65</v>
      </c>
      <c r="J31" s="686">
        <f t="shared" si="1"/>
        <v>464801.91000000003</v>
      </c>
      <c r="K31" s="686">
        <f t="shared" si="1"/>
        <v>605175.2733333334</v>
      </c>
      <c r="L31" s="686">
        <f t="shared" si="1"/>
        <v>710824.3216666668</v>
      </c>
      <c r="M31" s="686">
        <f t="shared" si="1"/>
        <v>844441.4500000001</v>
      </c>
      <c r="N31" s="686">
        <f t="shared" si="1"/>
        <v>931776.6150000001</v>
      </c>
      <c r="O31" s="686">
        <f t="shared" si="1"/>
        <v>1019111.7800000001</v>
      </c>
      <c r="P31" s="686">
        <f t="shared" si="1"/>
        <v>1098683.4300000002</v>
      </c>
      <c r="Q31" s="683"/>
    </row>
    <row r="32" spans="1:17" ht="12.75">
      <c r="A32" s="677"/>
      <c r="B32" s="677"/>
      <c r="C32" s="683"/>
      <c r="D32" s="683"/>
      <c r="E32" s="688"/>
      <c r="F32" s="688"/>
      <c r="G32" s="688"/>
      <c r="H32" s="688"/>
      <c r="I32" s="688"/>
      <c r="J32" s="688"/>
      <c r="K32" s="688"/>
      <c r="L32" s="688"/>
      <c r="M32" s="688"/>
      <c r="N32" s="688"/>
      <c r="O32" s="688"/>
      <c r="P32" s="688"/>
      <c r="Q32" s="688"/>
    </row>
    <row r="33" spans="1:17" ht="12.75">
      <c r="A33" s="898" t="s">
        <v>985</v>
      </c>
      <c r="B33" s="899"/>
      <c r="C33" s="899"/>
      <c r="D33" s="899"/>
      <c r="E33" s="899"/>
      <c r="F33" s="899"/>
      <c r="G33" s="900"/>
      <c r="H33" s="901" t="s">
        <v>1027</v>
      </c>
      <c r="I33" s="902"/>
      <c r="J33" s="903"/>
      <c r="K33" s="901" t="s">
        <v>986</v>
      </c>
      <c r="L33" s="902"/>
      <c r="M33" s="902"/>
      <c r="N33" s="902"/>
      <c r="O33" s="902"/>
      <c r="P33" s="902"/>
      <c r="Q33" s="903"/>
    </row>
    <row r="34" spans="1:17" ht="12.75">
      <c r="A34" s="904" t="s">
        <v>948</v>
      </c>
      <c r="B34" s="905"/>
      <c r="C34" s="905"/>
      <c r="D34" s="905"/>
      <c r="E34" s="905"/>
      <c r="F34" s="905"/>
      <c r="G34" s="906"/>
      <c r="H34" s="678"/>
      <c r="I34" s="679"/>
      <c r="J34" s="680"/>
      <c r="K34" s="907" t="s">
        <v>954</v>
      </c>
      <c r="L34" s="908"/>
      <c r="M34" s="908"/>
      <c r="N34" s="908"/>
      <c r="O34" s="908"/>
      <c r="P34" s="908"/>
      <c r="Q34" s="909"/>
    </row>
    <row r="35" spans="1:17" ht="12.75">
      <c r="A35" s="889" t="s">
        <v>987</v>
      </c>
      <c r="B35" s="890"/>
      <c r="C35" s="890"/>
      <c r="D35" s="890"/>
      <c r="E35" s="890"/>
      <c r="F35" s="890"/>
      <c r="G35" s="891"/>
      <c r="H35" s="892"/>
      <c r="I35" s="893"/>
      <c r="J35" s="894"/>
      <c r="K35" s="895" t="s">
        <v>988</v>
      </c>
      <c r="L35" s="896"/>
      <c r="M35" s="896"/>
      <c r="N35" s="896"/>
      <c r="O35" s="896"/>
      <c r="P35" s="896"/>
      <c r="Q35" s="897"/>
    </row>
  </sheetData>
  <sheetProtection/>
  <mergeCells count="25">
    <mergeCell ref="A35:G35"/>
    <mergeCell ref="H35:J35"/>
    <mergeCell ref="K35:Q35"/>
    <mergeCell ref="A31:B31"/>
    <mergeCell ref="A33:G33"/>
    <mergeCell ref="H33:J33"/>
    <mergeCell ref="K33:Q33"/>
    <mergeCell ref="A34:G34"/>
    <mergeCell ref="K34:Q34"/>
    <mergeCell ref="E9:M9"/>
    <mergeCell ref="A11:A12"/>
    <mergeCell ref="B11:B12"/>
    <mergeCell ref="C11:C12"/>
    <mergeCell ref="E11:P11"/>
    <mergeCell ref="A30:B30"/>
    <mergeCell ref="A1:Q6"/>
    <mergeCell ref="A7:B7"/>
    <mergeCell ref="C7:D7"/>
    <mergeCell ref="E7:M7"/>
    <mergeCell ref="N7:Q9"/>
    <mergeCell ref="A8:B8"/>
    <mergeCell ref="C8:D8"/>
    <mergeCell ref="E8:M8"/>
    <mergeCell ref="A9:B9"/>
    <mergeCell ref="C9:D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1"/>
  </sheetPr>
  <dimension ref="A1:AJ11"/>
  <sheetViews>
    <sheetView view="pageBreakPreview" zoomScaleSheetLayoutView="100" zoomScalePageLayoutView="0" workbookViewId="0" topLeftCell="A1">
      <selection activeCell="S6" sqref="S6:U8"/>
    </sheetView>
  </sheetViews>
  <sheetFormatPr defaultColWidth="9.140625" defaultRowHeight="12.75"/>
  <cols>
    <col min="1" max="1" width="4.8515625" style="310" bestFit="1" customWidth="1"/>
    <col min="2" max="3" width="5.00390625" style="264" customWidth="1"/>
    <col min="4" max="4" width="5.28125" style="264" customWidth="1"/>
    <col min="5" max="5" width="7.7109375" style="264" customWidth="1"/>
    <col min="6" max="6" width="9.421875" style="264" bestFit="1" customWidth="1"/>
    <col min="7" max="7" width="6.421875" style="264" bestFit="1" customWidth="1"/>
    <col min="8" max="8" width="5.7109375" style="264" bestFit="1" customWidth="1"/>
    <col min="9" max="9" width="6.57421875" style="264" bestFit="1" customWidth="1"/>
    <col min="10" max="10" width="5.8515625" style="264" bestFit="1" customWidth="1"/>
    <col min="11" max="11" width="5.00390625" style="311" customWidth="1"/>
    <col min="12" max="12" width="6.28125" style="264" bestFit="1" customWidth="1"/>
    <col min="13" max="13" width="7.140625" style="264" customWidth="1"/>
    <col min="14" max="14" width="7.421875" style="264" customWidth="1"/>
    <col min="15" max="15" width="5.7109375" style="264" bestFit="1" customWidth="1"/>
    <col min="16" max="16" width="6.57421875" style="264" bestFit="1" customWidth="1"/>
    <col min="17" max="17" width="4.8515625" style="264" bestFit="1" customWidth="1"/>
    <col min="18" max="18" width="5.7109375" style="264" bestFit="1" customWidth="1"/>
    <col min="19" max="21" width="9.421875" style="264" bestFit="1" customWidth="1"/>
    <col min="22" max="22" width="7.7109375" style="264" bestFit="1" customWidth="1"/>
    <col min="23" max="23" width="10.28125" style="264" bestFit="1" customWidth="1"/>
    <col min="24" max="24" width="8.7109375" style="264" bestFit="1" customWidth="1"/>
    <col min="25" max="25" width="15.28125" style="264" bestFit="1" customWidth="1"/>
    <col min="26" max="26" width="9.28125" style="264" bestFit="1" customWidth="1"/>
    <col min="27" max="31" width="9.140625" style="264" customWidth="1"/>
    <col min="32" max="32" width="7.7109375" style="264" bestFit="1" customWidth="1"/>
    <col min="33" max="33" width="10.140625" style="264" bestFit="1" customWidth="1"/>
    <col min="34" max="34" width="8.421875" style="264" bestFit="1" customWidth="1"/>
    <col min="35" max="35" width="15.140625" style="264" customWidth="1"/>
    <col min="36" max="16384" width="9.140625" style="264" customWidth="1"/>
  </cols>
  <sheetData>
    <row r="1" spans="1:36" s="317" customFormat="1" ht="18.75" thickBot="1">
      <c r="A1" s="1123" t="s">
        <v>451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4"/>
      <c r="P1" s="1124"/>
      <c r="Q1" s="1124"/>
      <c r="R1" s="1125"/>
      <c r="S1" s="316"/>
      <c r="T1" s="316"/>
      <c r="U1" s="316"/>
      <c r="V1" s="1127"/>
      <c r="W1" s="1127"/>
      <c r="X1" s="1127"/>
      <c r="Y1" s="1127"/>
      <c r="Z1" s="1127"/>
      <c r="AA1" s="316"/>
      <c r="AB1" s="316"/>
      <c r="AC1" s="316"/>
      <c r="AD1" s="316"/>
      <c r="AE1" s="316"/>
      <c r="AF1" s="1127"/>
      <c r="AG1" s="1127"/>
      <c r="AH1" s="1127"/>
      <c r="AI1" s="1127"/>
      <c r="AJ1" s="1127"/>
    </row>
    <row r="2" spans="1:36" s="269" customFormat="1" ht="12.75">
      <c r="A2" s="1120" t="s">
        <v>258</v>
      </c>
      <c r="B2" s="1126" t="s">
        <v>259</v>
      </c>
      <c r="C2" s="1126"/>
      <c r="D2" s="1126"/>
      <c r="E2" s="1126"/>
      <c r="F2" s="1126" t="s">
        <v>260</v>
      </c>
      <c r="G2" s="1126"/>
      <c r="H2" s="1126"/>
      <c r="I2" s="1126"/>
      <c r="J2" s="1126"/>
      <c r="K2" s="1126"/>
      <c r="L2" s="1126"/>
      <c r="M2" s="1126"/>
      <c r="N2" s="1126"/>
      <c r="O2" s="1126"/>
      <c r="P2" s="1126"/>
      <c r="Q2" s="1126" t="s">
        <v>261</v>
      </c>
      <c r="R2" s="1133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</row>
    <row r="3" spans="1:36" s="269" customFormat="1" ht="15.75" customHeight="1">
      <c r="A3" s="1121"/>
      <c r="B3" s="1099" t="s">
        <v>239</v>
      </c>
      <c r="C3" s="1099"/>
      <c r="D3" s="1099"/>
      <c r="E3" s="1128" t="s">
        <v>285</v>
      </c>
      <c r="F3" s="1099" t="s">
        <v>286</v>
      </c>
      <c r="G3" s="1099"/>
      <c r="H3" s="1099"/>
      <c r="I3" s="1099"/>
      <c r="J3" s="1103" t="s">
        <v>264</v>
      </c>
      <c r="K3" s="1104"/>
      <c r="L3" s="1104"/>
      <c r="M3" s="1104"/>
      <c r="N3" s="1104"/>
      <c r="O3" s="1104"/>
      <c r="P3" s="1105"/>
      <c r="Q3" s="1099"/>
      <c r="R3" s="1134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</row>
    <row r="4" spans="1:36" s="273" customFormat="1" ht="25.5" customHeight="1">
      <c r="A4" s="1121"/>
      <c r="B4" s="1103" t="s">
        <v>302</v>
      </c>
      <c r="C4" s="1104"/>
      <c r="D4" s="1104"/>
      <c r="E4" s="1129"/>
      <c r="F4" s="270" t="s">
        <v>289</v>
      </c>
      <c r="G4" s="1099" t="s">
        <v>290</v>
      </c>
      <c r="H4" s="1099" t="s">
        <v>291</v>
      </c>
      <c r="I4" s="1099"/>
      <c r="J4" s="1103" t="s">
        <v>292</v>
      </c>
      <c r="K4" s="1105"/>
      <c r="L4" s="1135" t="s">
        <v>290</v>
      </c>
      <c r="M4" s="1099" t="s">
        <v>303</v>
      </c>
      <c r="N4" s="1099"/>
      <c r="O4" s="1099" t="s">
        <v>304</v>
      </c>
      <c r="P4" s="1099"/>
      <c r="Q4" s="1099"/>
      <c r="R4" s="1134"/>
      <c r="T4" s="349"/>
      <c r="V4" s="274"/>
      <c r="W4" s="275"/>
      <c r="X4" s="275"/>
      <c r="Y4" s="275"/>
      <c r="Z4" s="275"/>
      <c r="AF4" s="274"/>
      <c r="AG4" s="275"/>
      <c r="AH4" s="275"/>
      <c r="AI4" s="275"/>
      <c r="AJ4" s="275"/>
    </row>
    <row r="5" spans="1:36" s="273" customFormat="1" ht="13.5" thickBot="1">
      <c r="A5" s="1122"/>
      <c r="B5" s="276" t="s">
        <v>305</v>
      </c>
      <c r="C5" s="276" t="s">
        <v>306</v>
      </c>
      <c r="D5" s="277" t="s">
        <v>307</v>
      </c>
      <c r="E5" s="1130"/>
      <c r="F5" s="276" t="s">
        <v>294</v>
      </c>
      <c r="G5" s="1109"/>
      <c r="H5" s="276" t="s">
        <v>276</v>
      </c>
      <c r="I5" s="276" t="s">
        <v>277</v>
      </c>
      <c r="J5" s="276" t="s">
        <v>308</v>
      </c>
      <c r="K5" s="278" t="s">
        <v>275</v>
      </c>
      <c r="L5" s="1136"/>
      <c r="M5" s="350" t="s">
        <v>276</v>
      </c>
      <c r="N5" s="350" t="s">
        <v>277</v>
      </c>
      <c r="O5" s="278" t="s">
        <v>276</v>
      </c>
      <c r="P5" s="278" t="s">
        <v>277</v>
      </c>
      <c r="Q5" s="276" t="s">
        <v>278</v>
      </c>
      <c r="R5" s="279" t="s">
        <v>279</v>
      </c>
      <c r="T5" s="349"/>
      <c r="V5" s="274"/>
      <c r="W5" s="275"/>
      <c r="X5" s="275"/>
      <c r="Y5" s="275"/>
      <c r="Z5" s="275"/>
      <c r="AF5" s="274"/>
      <c r="AG5" s="275"/>
      <c r="AH5" s="275"/>
      <c r="AI5" s="275"/>
      <c r="AJ5" s="275"/>
    </row>
    <row r="6" spans="1:36" s="353" customFormat="1" ht="11.25" customHeight="1">
      <c r="A6" s="341" t="s">
        <v>361</v>
      </c>
      <c r="B6" s="342">
        <v>0.15</v>
      </c>
      <c r="C6" s="342">
        <v>0.3</v>
      </c>
      <c r="D6" s="342">
        <v>9.3</v>
      </c>
      <c r="E6" s="343">
        <f>(D6)*(B6)*(C6)</f>
        <v>0.4185</v>
      </c>
      <c r="F6" s="344">
        <f>(D6)/0.15</f>
        <v>62.00000000000001</v>
      </c>
      <c r="G6" s="342">
        <f>B6*2+C6*2</f>
        <v>0.8999999999999999</v>
      </c>
      <c r="H6" s="342">
        <f>G6*F6</f>
        <v>55.800000000000004</v>
      </c>
      <c r="I6" s="343">
        <f>H6*S6</f>
        <v>8.593200000000001</v>
      </c>
      <c r="J6" s="330">
        <v>2</v>
      </c>
      <c r="K6" s="331">
        <v>4</v>
      </c>
      <c r="L6" s="342">
        <f>D6</f>
        <v>9.3</v>
      </c>
      <c r="M6" s="342">
        <f>J6*(L6)</f>
        <v>18.6</v>
      </c>
      <c r="N6" s="343">
        <f>M6*U6</f>
        <v>7.309800000000001</v>
      </c>
      <c r="O6" s="342">
        <f>K6*(L6)</f>
        <v>37.2</v>
      </c>
      <c r="P6" s="343">
        <f>O6*T6</f>
        <v>23.2128</v>
      </c>
      <c r="Q6" s="342">
        <f>(C6+0.025)*(D6)*2+(B6*D6)</f>
        <v>7.440000000000001</v>
      </c>
      <c r="R6" s="346">
        <f>Q6*0.025</f>
        <v>0.18600000000000005</v>
      </c>
      <c r="S6" s="541">
        <v>0.154</v>
      </c>
      <c r="T6" s="540">
        <v>0.624</v>
      </c>
      <c r="U6" s="540">
        <v>0.393</v>
      </c>
      <c r="V6" s="351"/>
      <c r="W6" s="352"/>
      <c r="X6" s="352"/>
      <c r="Z6" s="354"/>
      <c r="AF6" s="351"/>
      <c r="AJ6" s="354"/>
    </row>
    <row r="7" spans="1:36" s="357" customFormat="1" ht="11.25" customHeight="1">
      <c r="A7" s="319" t="s">
        <v>362</v>
      </c>
      <c r="B7" s="320">
        <v>0.15</v>
      </c>
      <c r="C7" s="320">
        <v>0.3</v>
      </c>
      <c r="D7" s="320">
        <v>5.45</v>
      </c>
      <c r="E7" s="321">
        <f>(D7)*(B7)*(C7)</f>
        <v>0.24525</v>
      </c>
      <c r="F7" s="322">
        <f>(D7)/0.15</f>
        <v>36.333333333333336</v>
      </c>
      <c r="G7" s="320">
        <f>B7*2+C7*2</f>
        <v>0.8999999999999999</v>
      </c>
      <c r="H7" s="320">
        <f>G7*F7</f>
        <v>32.699999999999996</v>
      </c>
      <c r="I7" s="321">
        <f>H7*S7</f>
        <v>5.035799999999999</v>
      </c>
      <c r="J7" s="322">
        <v>2</v>
      </c>
      <c r="K7" s="323">
        <v>4</v>
      </c>
      <c r="L7" s="320">
        <f>D7</f>
        <v>5.45</v>
      </c>
      <c r="M7" s="320">
        <f>J7*(L7)</f>
        <v>10.9</v>
      </c>
      <c r="N7" s="321">
        <f>M7*U7</f>
        <v>4.2837000000000005</v>
      </c>
      <c r="O7" s="320">
        <f>K7*(L7)</f>
        <v>21.8</v>
      </c>
      <c r="P7" s="321">
        <f>O7*T7</f>
        <v>13.603200000000001</v>
      </c>
      <c r="Q7" s="320">
        <f>(C7+0.025)*(D7)*2+(B7*D7)</f>
        <v>4.36</v>
      </c>
      <c r="R7" s="324">
        <f>Q7*0.025</f>
        <v>0.10900000000000001</v>
      </c>
      <c r="S7" s="538">
        <v>0.154</v>
      </c>
      <c r="T7" s="539">
        <v>0.624</v>
      </c>
      <c r="U7" s="540">
        <v>0.393</v>
      </c>
      <c r="V7" s="355"/>
      <c r="W7" s="356"/>
      <c r="X7" s="356"/>
      <c r="Z7" s="358"/>
      <c r="AF7" s="355"/>
      <c r="AJ7" s="358"/>
    </row>
    <row r="8" spans="1:36" s="353" customFormat="1" ht="11.25" customHeight="1">
      <c r="A8" s="327" t="s">
        <v>363</v>
      </c>
      <c r="B8" s="328">
        <v>0.15</v>
      </c>
      <c r="C8" s="328">
        <v>0.3</v>
      </c>
      <c r="D8" s="328">
        <v>4.5</v>
      </c>
      <c r="E8" s="329">
        <f>(D8)*(B8)*(C8)</f>
        <v>0.20249999999999999</v>
      </c>
      <c r="F8" s="330">
        <f>(D8)/0.15</f>
        <v>30</v>
      </c>
      <c r="G8" s="328">
        <f>B8*2+C8*2</f>
        <v>0.8999999999999999</v>
      </c>
      <c r="H8" s="328">
        <f>G8*F8</f>
        <v>26.999999999999996</v>
      </c>
      <c r="I8" s="329">
        <f>H8*S8</f>
        <v>4.1579999999999995</v>
      </c>
      <c r="J8" s="330">
        <v>2</v>
      </c>
      <c r="K8" s="331">
        <v>4</v>
      </c>
      <c r="L8" s="328">
        <f>D8</f>
        <v>4.5</v>
      </c>
      <c r="M8" s="328">
        <f>J8*(L8)</f>
        <v>9</v>
      </c>
      <c r="N8" s="329">
        <f>M8*U8</f>
        <v>3.537</v>
      </c>
      <c r="O8" s="328">
        <f>K8*(L8)</f>
        <v>18</v>
      </c>
      <c r="P8" s="329">
        <f>O8*T8</f>
        <v>11.232</v>
      </c>
      <c r="Q8" s="328">
        <f>(C8+0.025)*(D8)*2+(B8*D8)</f>
        <v>3.6</v>
      </c>
      <c r="R8" s="332">
        <f>Q8*0.025</f>
        <v>0.09000000000000001</v>
      </c>
      <c r="S8" s="541">
        <v>0.154</v>
      </c>
      <c r="T8" s="540">
        <v>0.624</v>
      </c>
      <c r="U8" s="540">
        <v>0.393</v>
      </c>
      <c r="V8" s="351"/>
      <c r="W8" s="352"/>
      <c r="X8" s="352"/>
      <c r="Z8" s="354"/>
      <c r="AF8" s="351"/>
      <c r="AJ8" s="354"/>
    </row>
    <row r="9" spans="1:20" ht="14.25" thickBot="1">
      <c r="A9" s="1131" t="s">
        <v>282</v>
      </c>
      <c r="B9" s="1132"/>
      <c r="C9" s="1132"/>
      <c r="D9" s="333" t="s">
        <v>283</v>
      </c>
      <c r="E9" s="334">
        <f>SUM(E6:E8)</f>
        <v>0.86625</v>
      </c>
      <c r="F9" s="338">
        <f>SUM(F6:F8)</f>
        <v>128.33333333333334</v>
      </c>
      <c r="G9" s="335" t="s">
        <v>283</v>
      </c>
      <c r="H9" s="335">
        <f>SUM(H6:H8)</f>
        <v>115.5</v>
      </c>
      <c r="I9" s="334">
        <f>SUM(I6:I8)</f>
        <v>17.787</v>
      </c>
      <c r="J9" s="334" t="s">
        <v>283</v>
      </c>
      <c r="K9" s="338" t="s">
        <v>283</v>
      </c>
      <c r="L9" s="335" t="s">
        <v>283</v>
      </c>
      <c r="M9" s="335">
        <f aca="true" t="shared" si="0" ref="M9:R9">SUM(M6:M8)</f>
        <v>38.5</v>
      </c>
      <c r="N9" s="334">
        <f t="shared" si="0"/>
        <v>15.130500000000001</v>
      </c>
      <c r="O9" s="335">
        <f t="shared" si="0"/>
        <v>77</v>
      </c>
      <c r="P9" s="334">
        <f t="shared" si="0"/>
        <v>48.048</v>
      </c>
      <c r="Q9" s="335">
        <f t="shared" si="0"/>
        <v>15.4</v>
      </c>
      <c r="R9" s="340">
        <f t="shared" si="0"/>
        <v>0.38500000000000006</v>
      </c>
      <c r="T9" s="359"/>
    </row>
    <row r="10" ht="13.5">
      <c r="T10" s="359"/>
    </row>
    <row r="11" ht="13.5">
      <c r="T11" s="359"/>
    </row>
  </sheetData>
  <sheetProtection selectLockedCells="1" selectUnlockedCells="1"/>
  <mergeCells count="19">
    <mergeCell ref="B2:E2"/>
    <mergeCell ref="J3:P3"/>
    <mergeCell ref="G4:G5"/>
    <mergeCell ref="H4:I4"/>
    <mergeCell ref="B3:D3"/>
    <mergeCell ref="M4:N4"/>
    <mergeCell ref="E3:E5"/>
    <mergeCell ref="L4:L5"/>
    <mergeCell ref="B4:D4"/>
    <mergeCell ref="A9:C9"/>
    <mergeCell ref="AF1:AJ1"/>
    <mergeCell ref="Q2:R4"/>
    <mergeCell ref="F3:I3"/>
    <mergeCell ref="O4:P4"/>
    <mergeCell ref="F2:P2"/>
    <mergeCell ref="J4:K4"/>
    <mergeCell ref="A1:R1"/>
    <mergeCell ref="V1:Z1"/>
    <mergeCell ref="A2:A5"/>
  </mergeCells>
  <printOptions/>
  <pageMargins left="0.4330708661417323" right="0.15748031496062992" top="0.31" bottom="0.31496062992125984" header="0.2" footer="0.16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1"/>
  </sheetPr>
  <dimension ref="A1:AJ22"/>
  <sheetViews>
    <sheetView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4.8515625" style="310" bestFit="1" customWidth="1"/>
    <col min="2" max="3" width="5.00390625" style="264" customWidth="1"/>
    <col min="4" max="4" width="5.28125" style="264" customWidth="1"/>
    <col min="5" max="5" width="7.7109375" style="264" customWidth="1"/>
    <col min="6" max="6" width="9.421875" style="264" bestFit="1" customWidth="1"/>
    <col min="7" max="7" width="6.421875" style="264" bestFit="1" customWidth="1"/>
    <col min="8" max="8" width="5.7109375" style="264" bestFit="1" customWidth="1"/>
    <col min="9" max="9" width="6.57421875" style="264" bestFit="1" customWidth="1"/>
    <col min="10" max="10" width="5.8515625" style="264" bestFit="1" customWidth="1"/>
    <col min="11" max="11" width="5.00390625" style="311" customWidth="1"/>
    <col min="12" max="12" width="6.28125" style="264" bestFit="1" customWidth="1"/>
    <col min="13" max="13" width="7.140625" style="264" customWidth="1"/>
    <col min="14" max="14" width="7.421875" style="264" customWidth="1"/>
    <col min="15" max="15" width="5.7109375" style="264" bestFit="1" customWidth="1"/>
    <col min="16" max="16" width="6.57421875" style="264" bestFit="1" customWidth="1"/>
    <col min="17" max="17" width="4.8515625" style="264" bestFit="1" customWidth="1"/>
    <col min="18" max="18" width="5.7109375" style="264" bestFit="1" customWidth="1"/>
    <col min="19" max="21" width="9.421875" style="264" bestFit="1" customWidth="1"/>
    <col min="22" max="22" width="7.7109375" style="264" bestFit="1" customWidth="1"/>
    <col min="23" max="23" width="10.28125" style="264" bestFit="1" customWidth="1"/>
    <col min="24" max="24" width="8.7109375" style="264" bestFit="1" customWidth="1"/>
    <col min="25" max="25" width="15.28125" style="264" bestFit="1" customWidth="1"/>
    <col min="26" max="26" width="9.28125" style="264" bestFit="1" customWidth="1"/>
    <col min="27" max="31" width="9.140625" style="264" customWidth="1"/>
    <col min="32" max="32" width="7.7109375" style="264" bestFit="1" customWidth="1"/>
    <col min="33" max="33" width="10.140625" style="264" bestFit="1" customWidth="1"/>
    <col min="34" max="34" width="8.421875" style="264" bestFit="1" customWidth="1"/>
    <col min="35" max="35" width="15.140625" style="264" customWidth="1"/>
    <col min="36" max="16384" width="9.140625" style="264" customWidth="1"/>
  </cols>
  <sheetData>
    <row r="1" spans="1:36" s="317" customFormat="1" ht="18.75" thickBot="1">
      <c r="A1" s="1123" t="s">
        <v>360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4"/>
      <c r="P1" s="1124"/>
      <c r="Q1" s="1124"/>
      <c r="R1" s="1125"/>
      <c r="S1" s="316"/>
      <c r="T1" s="316"/>
      <c r="U1" s="316"/>
      <c r="V1" s="1127"/>
      <c r="W1" s="1127"/>
      <c r="X1" s="1127"/>
      <c r="Y1" s="1127"/>
      <c r="Z1" s="1127"/>
      <c r="AA1" s="316"/>
      <c r="AB1" s="316"/>
      <c r="AC1" s="316"/>
      <c r="AD1" s="316"/>
      <c r="AE1" s="316"/>
      <c r="AF1" s="1127"/>
      <c r="AG1" s="1127"/>
      <c r="AH1" s="1127"/>
      <c r="AI1" s="1127"/>
      <c r="AJ1" s="1127"/>
    </row>
    <row r="2" spans="1:36" s="269" customFormat="1" ht="12.75">
      <c r="A2" s="1120" t="s">
        <v>258</v>
      </c>
      <c r="B2" s="1126" t="s">
        <v>259</v>
      </c>
      <c r="C2" s="1126"/>
      <c r="D2" s="1126"/>
      <c r="E2" s="1126"/>
      <c r="F2" s="1126" t="s">
        <v>260</v>
      </c>
      <c r="G2" s="1126"/>
      <c r="H2" s="1126"/>
      <c r="I2" s="1126"/>
      <c r="J2" s="1126"/>
      <c r="K2" s="1126"/>
      <c r="L2" s="1126"/>
      <c r="M2" s="1126"/>
      <c r="N2" s="1126"/>
      <c r="O2" s="1126"/>
      <c r="P2" s="1126"/>
      <c r="Q2" s="1126" t="s">
        <v>261</v>
      </c>
      <c r="R2" s="1133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</row>
    <row r="3" spans="1:36" s="269" customFormat="1" ht="15.75" customHeight="1">
      <c r="A3" s="1121"/>
      <c r="B3" s="1099" t="s">
        <v>239</v>
      </c>
      <c r="C3" s="1099"/>
      <c r="D3" s="1099"/>
      <c r="E3" s="1128" t="s">
        <v>285</v>
      </c>
      <c r="F3" s="1099" t="s">
        <v>286</v>
      </c>
      <c r="G3" s="1099"/>
      <c r="H3" s="1099"/>
      <c r="I3" s="1099"/>
      <c r="J3" s="1103" t="s">
        <v>264</v>
      </c>
      <c r="K3" s="1104"/>
      <c r="L3" s="1104"/>
      <c r="M3" s="1104"/>
      <c r="N3" s="1104"/>
      <c r="O3" s="1104"/>
      <c r="P3" s="1105"/>
      <c r="Q3" s="1099"/>
      <c r="R3" s="1134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</row>
    <row r="4" spans="1:36" s="273" customFormat="1" ht="25.5" customHeight="1">
      <c r="A4" s="1121"/>
      <c r="B4" s="1103" t="s">
        <v>302</v>
      </c>
      <c r="C4" s="1104"/>
      <c r="D4" s="1104"/>
      <c r="E4" s="1129"/>
      <c r="F4" s="270" t="s">
        <v>289</v>
      </c>
      <c r="G4" s="1099" t="s">
        <v>290</v>
      </c>
      <c r="H4" s="1099" t="s">
        <v>291</v>
      </c>
      <c r="I4" s="1099"/>
      <c r="J4" s="1103" t="s">
        <v>292</v>
      </c>
      <c r="K4" s="1105"/>
      <c r="L4" s="1135" t="s">
        <v>290</v>
      </c>
      <c r="M4" s="1099" t="s">
        <v>303</v>
      </c>
      <c r="N4" s="1099"/>
      <c r="O4" s="1099" t="s">
        <v>304</v>
      </c>
      <c r="P4" s="1099"/>
      <c r="Q4" s="1099"/>
      <c r="R4" s="1134"/>
      <c r="T4" s="349"/>
      <c r="V4" s="274"/>
      <c r="W4" s="275"/>
      <c r="X4" s="275"/>
      <c r="Y4" s="275"/>
      <c r="Z4" s="275"/>
      <c r="AF4" s="274"/>
      <c r="AG4" s="275"/>
      <c r="AH4" s="275"/>
      <c r="AI4" s="275"/>
      <c r="AJ4" s="275"/>
    </row>
    <row r="5" spans="1:36" s="273" customFormat="1" ht="13.5" thickBot="1">
      <c r="A5" s="1122"/>
      <c r="B5" s="276" t="s">
        <v>305</v>
      </c>
      <c r="C5" s="276" t="s">
        <v>306</v>
      </c>
      <c r="D5" s="277" t="s">
        <v>307</v>
      </c>
      <c r="E5" s="1130"/>
      <c r="F5" s="276" t="s">
        <v>294</v>
      </c>
      <c r="G5" s="1109"/>
      <c r="H5" s="276" t="s">
        <v>276</v>
      </c>
      <c r="I5" s="276" t="s">
        <v>277</v>
      </c>
      <c r="J5" s="276" t="s">
        <v>308</v>
      </c>
      <c r="K5" s="278" t="s">
        <v>275</v>
      </c>
      <c r="L5" s="1136"/>
      <c r="M5" s="350" t="s">
        <v>276</v>
      </c>
      <c r="N5" s="350" t="s">
        <v>277</v>
      </c>
      <c r="O5" s="278" t="s">
        <v>276</v>
      </c>
      <c r="P5" s="278" t="s">
        <v>277</v>
      </c>
      <c r="Q5" s="276" t="s">
        <v>278</v>
      </c>
      <c r="R5" s="279" t="s">
        <v>279</v>
      </c>
      <c r="S5" s="536"/>
      <c r="T5" s="537"/>
      <c r="U5" s="536"/>
      <c r="V5" s="274"/>
      <c r="W5" s="275"/>
      <c r="X5" s="275"/>
      <c r="Y5" s="275"/>
      <c r="Z5" s="275"/>
      <c r="AF5" s="274"/>
      <c r="AG5" s="275"/>
      <c r="AH5" s="275"/>
      <c r="AI5" s="275"/>
      <c r="AJ5" s="275"/>
    </row>
    <row r="6" spans="1:36" s="357" customFormat="1" ht="11.25" customHeight="1">
      <c r="A6" s="319" t="s">
        <v>437</v>
      </c>
      <c r="B6" s="320">
        <v>0.15</v>
      </c>
      <c r="C6" s="320">
        <v>0.3</v>
      </c>
      <c r="D6" s="320">
        <v>12</v>
      </c>
      <c r="E6" s="321">
        <f aca="true" t="shared" si="0" ref="E6:E19">(D6)*(B6)*(C6)</f>
        <v>0.5399999999999999</v>
      </c>
      <c r="F6" s="322">
        <f aca="true" t="shared" si="1" ref="F6:F19">(D6)/0.15</f>
        <v>80</v>
      </c>
      <c r="G6" s="320">
        <f aca="true" t="shared" si="2" ref="G6:G19">B6*2+C6*2</f>
        <v>0.8999999999999999</v>
      </c>
      <c r="H6" s="320">
        <f aca="true" t="shared" si="3" ref="H6:H19">G6*F6</f>
        <v>72</v>
      </c>
      <c r="I6" s="321">
        <f aca="true" t="shared" si="4" ref="I6:I19">H6*S6</f>
        <v>11.088</v>
      </c>
      <c r="J6" s="322">
        <v>2</v>
      </c>
      <c r="K6" s="323">
        <v>4</v>
      </c>
      <c r="L6" s="320">
        <f aca="true" t="shared" si="5" ref="L6:L19">D6</f>
        <v>12</v>
      </c>
      <c r="M6" s="320">
        <f aca="true" t="shared" si="6" ref="M6:M19">J6*(L6)</f>
        <v>24</v>
      </c>
      <c r="N6" s="321">
        <f aca="true" t="shared" si="7" ref="N6:N19">M6*U6</f>
        <v>9.432</v>
      </c>
      <c r="O6" s="320">
        <f aca="true" t="shared" si="8" ref="O6:O19">K6*(L6)</f>
        <v>48</v>
      </c>
      <c r="P6" s="321">
        <f aca="true" t="shared" si="9" ref="P6:P19">O6*T6</f>
        <v>29.951999999999998</v>
      </c>
      <c r="Q6" s="320">
        <f aca="true" t="shared" si="10" ref="Q6:Q19">(C6+0.025)*(D6)*2+(B6*D6)</f>
        <v>9.600000000000001</v>
      </c>
      <c r="R6" s="324">
        <f aca="true" t="shared" si="11" ref="R6:R19">Q6*0.025</f>
        <v>0.24000000000000005</v>
      </c>
      <c r="S6" s="538">
        <v>0.154</v>
      </c>
      <c r="T6" s="539">
        <v>0.624</v>
      </c>
      <c r="U6" s="540">
        <v>0.393</v>
      </c>
      <c r="V6" s="355"/>
      <c r="W6" s="356"/>
      <c r="X6" s="356"/>
      <c r="Z6" s="358"/>
      <c r="AF6" s="355"/>
      <c r="AJ6" s="358"/>
    </row>
    <row r="7" spans="1:36" s="353" customFormat="1" ht="11.25" customHeight="1">
      <c r="A7" s="327" t="s">
        <v>438</v>
      </c>
      <c r="B7" s="328">
        <v>0.15</v>
      </c>
      <c r="C7" s="328">
        <v>0.3</v>
      </c>
      <c r="D7" s="328">
        <v>7.5</v>
      </c>
      <c r="E7" s="329">
        <f t="shared" si="0"/>
        <v>0.33749999999999997</v>
      </c>
      <c r="F7" s="330">
        <f t="shared" si="1"/>
        <v>50</v>
      </c>
      <c r="G7" s="328">
        <f t="shared" si="2"/>
        <v>0.8999999999999999</v>
      </c>
      <c r="H7" s="328">
        <f t="shared" si="3"/>
        <v>44.99999999999999</v>
      </c>
      <c r="I7" s="329">
        <f t="shared" si="4"/>
        <v>6.929999999999999</v>
      </c>
      <c r="J7" s="330">
        <v>2</v>
      </c>
      <c r="K7" s="331">
        <v>4</v>
      </c>
      <c r="L7" s="328">
        <f t="shared" si="5"/>
        <v>7.5</v>
      </c>
      <c r="M7" s="328">
        <f t="shared" si="6"/>
        <v>15</v>
      </c>
      <c r="N7" s="329">
        <f t="shared" si="7"/>
        <v>5.8950000000000005</v>
      </c>
      <c r="O7" s="328">
        <f t="shared" si="8"/>
        <v>30</v>
      </c>
      <c r="P7" s="329">
        <f t="shared" si="9"/>
        <v>18.72</v>
      </c>
      <c r="Q7" s="328">
        <f t="shared" si="10"/>
        <v>6</v>
      </c>
      <c r="R7" s="332">
        <f t="shared" si="11"/>
        <v>0.15000000000000002</v>
      </c>
      <c r="S7" s="541">
        <v>0.154</v>
      </c>
      <c r="T7" s="540">
        <v>0.624</v>
      </c>
      <c r="U7" s="540">
        <v>0.393</v>
      </c>
      <c r="V7" s="351"/>
      <c r="W7" s="352"/>
      <c r="X7" s="352"/>
      <c r="Z7" s="354"/>
      <c r="AF7" s="351"/>
      <c r="AJ7" s="354"/>
    </row>
    <row r="8" spans="1:36" s="357" customFormat="1" ht="11.25" customHeight="1">
      <c r="A8" s="319" t="s">
        <v>439</v>
      </c>
      <c r="B8" s="320">
        <v>0.15</v>
      </c>
      <c r="C8" s="320">
        <v>0.3</v>
      </c>
      <c r="D8" s="320">
        <v>4.2</v>
      </c>
      <c r="E8" s="321">
        <f t="shared" si="0"/>
        <v>0.189</v>
      </c>
      <c r="F8" s="322">
        <f t="shared" si="1"/>
        <v>28.000000000000004</v>
      </c>
      <c r="G8" s="320">
        <f t="shared" si="2"/>
        <v>0.8999999999999999</v>
      </c>
      <c r="H8" s="320">
        <f t="shared" si="3"/>
        <v>25.2</v>
      </c>
      <c r="I8" s="321">
        <f t="shared" si="4"/>
        <v>3.8808</v>
      </c>
      <c r="J8" s="322">
        <v>2</v>
      </c>
      <c r="K8" s="323">
        <v>4</v>
      </c>
      <c r="L8" s="320">
        <f t="shared" si="5"/>
        <v>4.2</v>
      </c>
      <c r="M8" s="320">
        <f t="shared" si="6"/>
        <v>8.4</v>
      </c>
      <c r="N8" s="321">
        <f t="shared" si="7"/>
        <v>3.3012</v>
      </c>
      <c r="O8" s="320">
        <f t="shared" si="8"/>
        <v>16.8</v>
      </c>
      <c r="P8" s="321">
        <f t="shared" si="9"/>
        <v>10.4832</v>
      </c>
      <c r="Q8" s="320">
        <f t="shared" si="10"/>
        <v>3.3600000000000003</v>
      </c>
      <c r="R8" s="324">
        <f t="shared" si="11"/>
        <v>0.08400000000000002</v>
      </c>
      <c r="S8" s="538">
        <v>0.154</v>
      </c>
      <c r="T8" s="539">
        <v>0.624</v>
      </c>
      <c r="U8" s="540">
        <v>0.393</v>
      </c>
      <c r="V8" s="355"/>
      <c r="W8" s="356"/>
      <c r="X8" s="356"/>
      <c r="Z8" s="358"/>
      <c r="AF8" s="355"/>
      <c r="AJ8" s="358"/>
    </row>
    <row r="9" spans="1:36" s="353" customFormat="1" ht="11.25" customHeight="1">
      <c r="A9" s="327" t="s">
        <v>440</v>
      </c>
      <c r="B9" s="328">
        <v>0.15</v>
      </c>
      <c r="C9" s="328">
        <v>0.3</v>
      </c>
      <c r="D9" s="328">
        <v>4.2</v>
      </c>
      <c r="E9" s="329">
        <f t="shared" si="0"/>
        <v>0.189</v>
      </c>
      <c r="F9" s="330">
        <f t="shared" si="1"/>
        <v>28.000000000000004</v>
      </c>
      <c r="G9" s="328">
        <f t="shared" si="2"/>
        <v>0.8999999999999999</v>
      </c>
      <c r="H9" s="328">
        <f t="shared" si="3"/>
        <v>25.2</v>
      </c>
      <c r="I9" s="329">
        <f t="shared" si="4"/>
        <v>3.8808</v>
      </c>
      <c r="J9" s="330">
        <v>2</v>
      </c>
      <c r="K9" s="331">
        <v>4</v>
      </c>
      <c r="L9" s="328">
        <f t="shared" si="5"/>
        <v>4.2</v>
      </c>
      <c r="M9" s="328">
        <f t="shared" si="6"/>
        <v>8.4</v>
      </c>
      <c r="N9" s="329">
        <f t="shared" si="7"/>
        <v>3.3012</v>
      </c>
      <c r="O9" s="328">
        <f t="shared" si="8"/>
        <v>16.8</v>
      </c>
      <c r="P9" s="329">
        <f t="shared" si="9"/>
        <v>10.4832</v>
      </c>
      <c r="Q9" s="328">
        <f t="shared" si="10"/>
        <v>3.3600000000000003</v>
      </c>
      <c r="R9" s="332">
        <f t="shared" si="11"/>
        <v>0.08400000000000002</v>
      </c>
      <c r="S9" s="541">
        <v>0.154</v>
      </c>
      <c r="T9" s="540">
        <v>0.624</v>
      </c>
      <c r="U9" s="540">
        <v>0.393</v>
      </c>
      <c r="V9" s="351"/>
      <c r="W9" s="352"/>
      <c r="X9" s="352"/>
      <c r="Z9" s="354"/>
      <c r="AF9" s="351"/>
      <c r="AJ9" s="354"/>
    </row>
    <row r="10" spans="1:36" s="357" customFormat="1" ht="11.25" customHeight="1">
      <c r="A10" s="319" t="s">
        <v>441</v>
      </c>
      <c r="B10" s="320">
        <v>0.15</v>
      </c>
      <c r="C10" s="320">
        <v>0.3</v>
      </c>
      <c r="D10" s="320">
        <v>4.2</v>
      </c>
      <c r="E10" s="321">
        <f t="shared" si="0"/>
        <v>0.189</v>
      </c>
      <c r="F10" s="322">
        <f t="shared" si="1"/>
        <v>28.000000000000004</v>
      </c>
      <c r="G10" s="320">
        <f t="shared" si="2"/>
        <v>0.8999999999999999</v>
      </c>
      <c r="H10" s="320">
        <f t="shared" si="3"/>
        <v>25.2</v>
      </c>
      <c r="I10" s="321">
        <f t="shared" si="4"/>
        <v>3.8808</v>
      </c>
      <c r="J10" s="322">
        <v>2</v>
      </c>
      <c r="K10" s="323">
        <v>4</v>
      </c>
      <c r="L10" s="320">
        <f t="shared" si="5"/>
        <v>4.2</v>
      </c>
      <c r="M10" s="320">
        <f t="shared" si="6"/>
        <v>8.4</v>
      </c>
      <c r="N10" s="321">
        <f t="shared" si="7"/>
        <v>3.3012</v>
      </c>
      <c r="O10" s="320">
        <f t="shared" si="8"/>
        <v>16.8</v>
      </c>
      <c r="P10" s="321">
        <f t="shared" si="9"/>
        <v>10.4832</v>
      </c>
      <c r="Q10" s="320">
        <f t="shared" si="10"/>
        <v>3.3600000000000003</v>
      </c>
      <c r="R10" s="324">
        <f t="shared" si="11"/>
        <v>0.08400000000000002</v>
      </c>
      <c r="S10" s="538">
        <v>0.154</v>
      </c>
      <c r="T10" s="539">
        <v>0.624</v>
      </c>
      <c r="U10" s="540">
        <v>0.393</v>
      </c>
      <c r="V10" s="355"/>
      <c r="W10" s="356"/>
      <c r="X10" s="356"/>
      <c r="Z10" s="358"/>
      <c r="AF10" s="355"/>
      <c r="AJ10" s="358"/>
    </row>
    <row r="11" spans="1:36" s="353" customFormat="1" ht="11.25" customHeight="1">
      <c r="A11" s="327" t="s">
        <v>442</v>
      </c>
      <c r="B11" s="328">
        <v>0.15</v>
      </c>
      <c r="C11" s="328">
        <v>0.3</v>
      </c>
      <c r="D11" s="328">
        <v>4.2</v>
      </c>
      <c r="E11" s="329">
        <f t="shared" si="0"/>
        <v>0.189</v>
      </c>
      <c r="F11" s="330">
        <f t="shared" si="1"/>
        <v>28.000000000000004</v>
      </c>
      <c r="G11" s="328">
        <f t="shared" si="2"/>
        <v>0.8999999999999999</v>
      </c>
      <c r="H11" s="328">
        <f t="shared" si="3"/>
        <v>25.2</v>
      </c>
      <c r="I11" s="329">
        <f t="shared" si="4"/>
        <v>3.8808</v>
      </c>
      <c r="J11" s="330">
        <v>2</v>
      </c>
      <c r="K11" s="331">
        <v>4</v>
      </c>
      <c r="L11" s="328">
        <f t="shared" si="5"/>
        <v>4.2</v>
      </c>
      <c r="M11" s="328">
        <f t="shared" si="6"/>
        <v>8.4</v>
      </c>
      <c r="N11" s="329">
        <f t="shared" si="7"/>
        <v>3.3012</v>
      </c>
      <c r="O11" s="328">
        <f t="shared" si="8"/>
        <v>16.8</v>
      </c>
      <c r="P11" s="329">
        <f t="shared" si="9"/>
        <v>10.4832</v>
      </c>
      <c r="Q11" s="328">
        <f t="shared" si="10"/>
        <v>3.3600000000000003</v>
      </c>
      <c r="R11" s="332">
        <f t="shared" si="11"/>
        <v>0.08400000000000002</v>
      </c>
      <c r="S11" s="541">
        <v>0.154</v>
      </c>
      <c r="T11" s="540">
        <v>0.624</v>
      </c>
      <c r="U11" s="540">
        <v>0.393</v>
      </c>
      <c r="V11" s="351"/>
      <c r="W11" s="352"/>
      <c r="X11" s="352"/>
      <c r="Z11" s="354"/>
      <c r="AF11" s="351"/>
      <c r="AJ11" s="354"/>
    </row>
    <row r="12" spans="1:36" s="357" customFormat="1" ht="11.25" customHeight="1">
      <c r="A12" s="319" t="s">
        <v>443</v>
      </c>
      <c r="B12" s="320">
        <v>0.15</v>
      </c>
      <c r="C12" s="320">
        <v>0.3</v>
      </c>
      <c r="D12" s="320">
        <v>4.2</v>
      </c>
      <c r="E12" s="321">
        <f t="shared" si="0"/>
        <v>0.189</v>
      </c>
      <c r="F12" s="322">
        <f t="shared" si="1"/>
        <v>28.000000000000004</v>
      </c>
      <c r="G12" s="320">
        <f t="shared" si="2"/>
        <v>0.8999999999999999</v>
      </c>
      <c r="H12" s="320">
        <f t="shared" si="3"/>
        <v>25.2</v>
      </c>
      <c r="I12" s="321">
        <f t="shared" si="4"/>
        <v>3.8808</v>
      </c>
      <c r="J12" s="322">
        <v>2</v>
      </c>
      <c r="K12" s="323">
        <v>4</v>
      </c>
      <c r="L12" s="320">
        <f t="shared" si="5"/>
        <v>4.2</v>
      </c>
      <c r="M12" s="320">
        <f t="shared" si="6"/>
        <v>8.4</v>
      </c>
      <c r="N12" s="321">
        <f t="shared" si="7"/>
        <v>3.3012</v>
      </c>
      <c r="O12" s="320">
        <f t="shared" si="8"/>
        <v>16.8</v>
      </c>
      <c r="P12" s="321">
        <f t="shared" si="9"/>
        <v>10.4832</v>
      </c>
      <c r="Q12" s="320">
        <f t="shared" si="10"/>
        <v>3.3600000000000003</v>
      </c>
      <c r="R12" s="324">
        <f t="shared" si="11"/>
        <v>0.08400000000000002</v>
      </c>
      <c r="S12" s="538">
        <v>0.154</v>
      </c>
      <c r="T12" s="539">
        <v>0.624</v>
      </c>
      <c r="U12" s="540">
        <v>0.393</v>
      </c>
      <c r="V12" s="355"/>
      <c r="W12" s="356"/>
      <c r="X12" s="356"/>
      <c r="Z12" s="358"/>
      <c r="AF12" s="355"/>
      <c r="AJ12" s="358"/>
    </row>
    <row r="13" spans="1:36" s="353" customFormat="1" ht="11.25" customHeight="1">
      <c r="A13" s="327" t="s">
        <v>444</v>
      </c>
      <c r="B13" s="328">
        <v>0.15</v>
      </c>
      <c r="C13" s="328">
        <v>0.3</v>
      </c>
      <c r="D13" s="328">
        <v>4.2</v>
      </c>
      <c r="E13" s="329">
        <f t="shared" si="0"/>
        <v>0.189</v>
      </c>
      <c r="F13" s="330">
        <f t="shared" si="1"/>
        <v>28.000000000000004</v>
      </c>
      <c r="G13" s="328">
        <f t="shared" si="2"/>
        <v>0.8999999999999999</v>
      </c>
      <c r="H13" s="328">
        <f t="shared" si="3"/>
        <v>25.2</v>
      </c>
      <c r="I13" s="329">
        <f t="shared" si="4"/>
        <v>3.8808</v>
      </c>
      <c r="J13" s="330">
        <v>2</v>
      </c>
      <c r="K13" s="331">
        <v>4</v>
      </c>
      <c r="L13" s="328">
        <f t="shared" si="5"/>
        <v>4.2</v>
      </c>
      <c r="M13" s="328">
        <f t="shared" si="6"/>
        <v>8.4</v>
      </c>
      <c r="N13" s="329">
        <f t="shared" si="7"/>
        <v>3.3012</v>
      </c>
      <c r="O13" s="328">
        <f t="shared" si="8"/>
        <v>16.8</v>
      </c>
      <c r="P13" s="329">
        <f t="shared" si="9"/>
        <v>10.4832</v>
      </c>
      <c r="Q13" s="328">
        <f t="shared" si="10"/>
        <v>3.3600000000000003</v>
      </c>
      <c r="R13" s="332">
        <f t="shared" si="11"/>
        <v>0.08400000000000002</v>
      </c>
      <c r="S13" s="541">
        <v>0.154</v>
      </c>
      <c r="T13" s="540">
        <v>0.624</v>
      </c>
      <c r="U13" s="540">
        <v>0.393</v>
      </c>
      <c r="V13" s="351"/>
      <c r="W13" s="352"/>
      <c r="X13" s="352"/>
      <c r="Z13" s="354"/>
      <c r="AF13" s="351"/>
      <c r="AJ13" s="354"/>
    </row>
    <row r="14" spans="1:36" s="357" customFormat="1" ht="11.25" customHeight="1">
      <c r="A14" s="319" t="s">
        <v>445</v>
      </c>
      <c r="B14" s="320">
        <v>0.15</v>
      </c>
      <c r="C14" s="320">
        <v>0.3</v>
      </c>
      <c r="D14" s="320">
        <v>4.2</v>
      </c>
      <c r="E14" s="321">
        <f t="shared" si="0"/>
        <v>0.189</v>
      </c>
      <c r="F14" s="322">
        <f t="shared" si="1"/>
        <v>28.000000000000004</v>
      </c>
      <c r="G14" s="320">
        <f t="shared" si="2"/>
        <v>0.8999999999999999</v>
      </c>
      <c r="H14" s="320">
        <f t="shared" si="3"/>
        <v>25.2</v>
      </c>
      <c r="I14" s="321">
        <f t="shared" si="4"/>
        <v>3.8808</v>
      </c>
      <c r="J14" s="322">
        <v>2</v>
      </c>
      <c r="K14" s="323">
        <v>4</v>
      </c>
      <c r="L14" s="320">
        <f t="shared" si="5"/>
        <v>4.2</v>
      </c>
      <c r="M14" s="320">
        <f t="shared" si="6"/>
        <v>8.4</v>
      </c>
      <c r="N14" s="321">
        <f t="shared" si="7"/>
        <v>3.3012</v>
      </c>
      <c r="O14" s="320">
        <f t="shared" si="8"/>
        <v>16.8</v>
      </c>
      <c r="P14" s="321">
        <f t="shared" si="9"/>
        <v>10.4832</v>
      </c>
      <c r="Q14" s="320">
        <f t="shared" si="10"/>
        <v>3.3600000000000003</v>
      </c>
      <c r="R14" s="324">
        <f t="shared" si="11"/>
        <v>0.08400000000000002</v>
      </c>
      <c r="S14" s="538">
        <v>0.154</v>
      </c>
      <c r="T14" s="539">
        <v>0.624</v>
      </c>
      <c r="U14" s="540">
        <v>0.393</v>
      </c>
      <c r="V14" s="355"/>
      <c r="W14" s="356"/>
      <c r="X14" s="356"/>
      <c r="Z14" s="358"/>
      <c r="AF14" s="355"/>
      <c r="AJ14" s="358"/>
    </row>
    <row r="15" spans="1:36" s="353" customFormat="1" ht="11.25" customHeight="1">
      <c r="A15" s="327" t="s">
        <v>446</v>
      </c>
      <c r="B15" s="328">
        <v>0.15</v>
      </c>
      <c r="C15" s="328">
        <v>0.3</v>
      </c>
      <c r="D15" s="328">
        <v>4.2</v>
      </c>
      <c r="E15" s="329">
        <f t="shared" si="0"/>
        <v>0.189</v>
      </c>
      <c r="F15" s="330">
        <f t="shared" si="1"/>
        <v>28.000000000000004</v>
      </c>
      <c r="G15" s="328">
        <f t="shared" si="2"/>
        <v>0.8999999999999999</v>
      </c>
      <c r="H15" s="328">
        <f t="shared" si="3"/>
        <v>25.2</v>
      </c>
      <c r="I15" s="329">
        <f t="shared" si="4"/>
        <v>3.8808</v>
      </c>
      <c r="J15" s="330">
        <v>2</v>
      </c>
      <c r="K15" s="331">
        <v>4</v>
      </c>
      <c r="L15" s="328">
        <f t="shared" si="5"/>
        <v>4.2</v>
      </c>
      <c r="M15" s="328">
        <f t="shared" si="6"/>
        <v>8.4</v>
      </c>
      <c r="N15" s="329">
        <f t="shared" si="7"/>
        <v>3.3012</v>
      </c>
      <c r="O15" s="328">
        <f t="shared" si="8"/>
        <v>16.8</v>
      </c>
      <c r="P15" s="329">
        <f t="shared" si="9"/>
        <v>10.4832</v>
      </c>
      <c r="Q15" s="328">
        <f t="shared" si="10"/>
        <v>3.3600000000000003</v>
      </c>
      <c r="R15" s="332">
        <f t="shared" si="11"/>
        <v>0.08400000000000002</v>
      </c>
      <c r="S15" s="541">
        <v>0.154</v>
      </c>
      <c r="T15" s="540">
        <v>0.624</v>
      </c>
      <c r="U15" s="540">
        <v>0.393</v>
      </c>
      <c r="V15" s="351"/>
      <c r="W15" s="352"/>
      <c r="X15" s="352"/>
      <c r="Z15" s="354"/>
      <c r="AF15" s="351"/>
      <c r="AJ15" s="354"/>
    </row>
    <row r="16" spans="1:36" s="357" customFormat="1" ht="11.25" customHeight="1">
      <c r="A16" s="319" t="s">
        <v>447</v>
      </c>
      <c r="B16" s="320">
        <v>0.15</v>
      </c>
      <c r="C16" s="320">
        <v>0.3</v>
      </c>
      <c r="D16" s="320">
        <v>1.8</v>
      </c>
      <c r="E16" s="321">
        <f t="shared" si="0"/>
        <v>0.081</v>
      </c>
      <c r="F16" s="322">
        <f t="shared" si="1"/>
        <v>12</v>
      </c>
      <c r="G16" s="320">
        <f t="shared" si="2"/>
        <v>0.8999999999999999</v>
      </c>
      <c r="H16" s="320">
        <f t="shared" si="3"/>
        <v>10.799999999999999</v>
      </c>
      <c r="I16" s="321">
        <f t="shared" si="4"/>
        <v>1.6631999999999998</v>
      </c>
      <c r="J16" s="322">
        <v>2</v>
      </c>
      <c r="K16" s="323">
        <v>4</v>
      </c>
      <c r="L16" s="320">
        <f t="shared" si="5"/>
        <v>1.8</v>
      </c>
      <c r="M16" s="320">
        <f t="shared" si="6"/>
        <v>3.6</v>
      </c>
      <c r="N16" s="321">
        <f t="shared" si="7"/>
        <v>1.4148</v>
      </c>
      <c r="O16" s="320">
        <f t="shared" si="8"/>
        <v>7.2</v>
      </c>
      <c r="P16" s="321">
        <f t="shared" si="9"/>
        <v>4.4928</v>
      </c>
      <c r="Q16" s="320">
        <f t="shared" si="10"/>
        <v>1.4400000000000002</v>
      </c>
      <c r="R16" s="324">
        <f t="shared" si="11"/>
        <v>0.036000000000000004</v>
      </c>
      <c r="S16" s="538">
        <v>0.154</v>
      </c>
      <c r="T16" s="539">
        <v>0.624</v>
      </c>
      <c r="U16" s="540">
        <v>0.393</v>
      </c>
      <c r="V16" s="355"/>
      <c r="W16" s="356"/>
      <c r="X16" s="356"/>
      <c r="Z16" s="358"/>
      <c r="AF16" s="355"/>
      <c r="AJ16" s="358"/>
    </row>
    <row r="17" spans="1:36" s="353" customFormat="1" ht="11.25" customHeight="1">
      <c r="A17" s="327" t="s">
        <v>448</v>
      </c>
      <c r="B17" s="328">
        <v>0.15</v>
      </c>
      <c r="C17" s="328">
        <v>0.3</v>
      </c>
      <c r="D17" s="328">
        <v>12</v>
      </c>
      <c r="E17" s="329">
        <f t="shared" si="0"/>
        <v>0.5399999999999999</v>
      </c>
      <c r="F17" s="330">
        <f t="shared" si="1"/>
        <v>80</v>
      </c>
      <c r="G17" s="328">
        <f t="shared" si="2"/>
        <v>0.8999999999999999</v>
      </c>
      <c r="H17" s="328">
        <f t="shared" si="3"/>
        <v>72</v>
      </c>
      <c r="I17" s="329">
        <f t="shared" si="4"/>
        <v>11.088</v>
      </c>
      <c r="J17" s="330">
        <v>2</v>
      </c>
      <c r="K17" s="331">
        <v>4</v>
      </c>
      <c r="L17" s="328">
        <f t="shared" si="5"/>
        <v>12</v>
      </c>
      <c r="M17" s="328">
        <f t="shared" si="6"/>
        <v>24</v>
      </c>
      <c r="N17" s="329">
        <f t="shared" si="7"/>
        <v>9.432</v>
      </c>
      <c r="O17" s="328">
        <f t="shared" si="8"/>
        <v>48</v>
      </c>
      <c r="P17" s="329">
        <f t="shared" si="9"/>
        <v>29.951999999999998</v>
      </c>
      <c r="Q17" s="328">
        <f t="shared" si="10"/>
        <v>9.600000000000001</v>
      </c>
      <c r="R17" s="332">
        <f t="shared" si="11"/>
        <v>0.24000000000000005</v>
      </c>
      <c r="S17" s="541">
        <v>0.154</v>
      </c>
      <c r="T17" s="540">
        <v>0.624</v>
      </c>
      <c r="U17" s="540">
        <v>0.393</v>
      </c>
      <c r="V17" s="351"/>
      <c r="W17" s="352"/>
      <c r="X17" s="352"/>
      <c r="Z17" s="354"/>
      <c r="AF17" s="351"/>
      <c r="AJ17" s="354"/>
    </row>
    <row r="18" spans="1:36" s="357" customFormat="1" ht="11.25" customHeight="1">
      <c r="A18" s="319" t="s">
        <v>449</v>
      </c>
      <c r="B18" s="320">
        <v>0.15</v>
      </c>
      <c r="C18" s="320">
        <v>0.3</v>
      </c>
      <c r="D18" s="320">
        <v>7.5</v>
      </c>
      <c r="E18" s="321">
        <f t="shared" si="0"/>
        <v>0.33749999999999997</v>
      </c>
      <c r="F18" s="322">
        <f t="shared" si="1"/>
        <v>50</v>
      </c>
      <c r="G18" s="320">
        <f t="shared" si="2"/>
        <v>0.8999999999999999</v>
      </c>
      <c r="H18" s="320">
        <f t="shared" si="3"/>
        <v>44.99999999999999</v>
      </c>
      <c r="I18" s="321">
        <f t="shared" si="4"/>
        <v>6.929999999999999</v>
      </c>
      <c r="J18" s="322">
        <v>2</v>
      </c>
      <c r="K18" s="323">
        <v>4</v>
      </c>
      <c r="L18" s="320">
        <f t="shared" si="5"/>
        <v>7.5</v>
      </c>
      <c r="M18" s="320">
        <f t="shared" si="6"/>
        <v>15</v>
      </c>
      <c r="N18" s="321">
        <f t="shared" si="7"/>
        <v>5.8950000000000005</v>
      </c>
      <c r="O18" s="320">
        <f t="shared" si="8"/>
        <v>30</v>
      </c>
      <c r="P18" s="321">
        <f t="shared" si="9"/>
        <v>18.72</v>
      </c>
      <c r="Q18" s="320">
        <f t="shared" si="10"/>
        <v>6</v>
      </c>
      <c r="R18" s="324">
        <f t="shared" si="11"/>
        <v>0.15000000000000002</v>
      </c>
      <c r="S18" s="538">
        <v>0.154</v>
      </c>
      <c r="T18" s="539">
        <v>0.624</v>
      </c>
      <c r="U18" s="540">
        <v>0.393</v>
      </c>
      <c r="V18" s="355"/>
      <c r="W18" s="356"/>
      <c r="X18" s="356"/>
      <c r="Z18" s="358"/>
      <c r="AF18" s="355"/>
      <c r="AJ18" s="358"/>
    </row>
    <row r="19" spans="1:36" s="357" customFormat="1" ht="11.25" customHeight="1">
      <c r="A19" s="319" t="s">
        <v>364</v>
      </c>
      <c r="B19" s="320">
        <v>0.15</v>
      </c>
      <c r="C19" s="320">
        <v>0.3</v>
      </c>
      <c r="D19" s="320">
        <v>0.9</v>
      </c>
      <c r="E19" s="321">
        <f t="shared" si="0"/>
        <v>0.0405</v>
      </c>
      <c r="F19" s="322">
        <f t="shared" si="1"/>
        <v>6</v>
      </c>
      <c r="G19" s="320">
        <f t="shared" si="2"/>
        <v>0.8999999999999999</v>
      </c>
      <c r="H19" s="320">
        <f t="shared" si="3"/>
        <v>5.3999999999999995</v>
      </c>
      <c r="I19" s="321">
        <f t="shared" si="4"/>
        <v>0.8315999999999999</v>
      </c>
      <c r="J19" s="322">
        <v>2</v>
      </c>
      <c r="K19" s="323">
        <v>4</v>
      </c>
      <c r="L19" s="320">
        <f t="shared" si="5"/>
        <v>0.9</v>
      </c>
      <c r="M19" s="320">
        <f t="shared" si="6"/>
        <v>1.8</v>
      </c>
      <c r="N19" s="321">
        <f t="shared" si="7"/>
        <v>0.7074</v>
      </c>
      <c r="O19" s="320">
        <f t="shared" si="8"/>
        <v>3.6</v>
      </c>
      <c r="P19" s="321">
        <f t="shared" si="9"/>
        <v>2.2464</v>
      </c>
      <c r="Q19" s="320">
        <f t="shared" si="10"/>
        <v>0.7200000000000001</v>
      </c>
      <c r="R19" s="324">
        <f t="shared" si="11"/>
        <v>0.018000000000000002</v>
      </c>
      <c r="S19" s="538">
        <v>0.154</v>
      </c>
      <c r="T19" s="539">
        <v>0.624</v>
      </c>
      <c r="U19" s="540">
        <v>0.393</v>
      </c>
      <c r="V19" s="355"/>
      <c r="W19" s="356"/>
      <c r="X19" s="356"/>
      <c r="Z19" s="358"/>
      <c r="AF19" s="355"/>
      <c r="AJ19" s="358"/>
    </row>
    <row r="20" spans="1:20" ht="14.25" thickBot="1">
      <c r="A20" s="1131" t="s">
        <v>282</v>
      </c>
      <c r="B20" s="1132"/>
      <c r="C20" s="1132"/>
      <c r="D20" s="333" t="s">
        <v>283</v>
      </c>
      <c r="E20" s="334">
        <f>SUM(E6:E19)</f>
        <v>3.3885000000000005</v>
      </c>
      <c r="F20" s="338">
        <f>SUM(F6:F19)</f>
        <v>502</v>
      </c>
      <c r="G20" s="335" t="s">
        <v>283</v>
      </c>
      <c r="H20" s="335">
        <f>SUM(H6:H19)</f>
        <v>451.7999999999999</v>
      </c>
      <c r="I20" s="334">
        <f>SUM(I6:I19)</f>
        <v>69.57719999999999</v>
      </c>
      <c r="J20" s="334" t="s">
        <v>283</v>
      </c>
      <c r="K20" s="338" t="s">
        <v>283</v>
      </c>
      <c r="L20" s="335" t="s">
        <v>283</v>
      </c>
      <c r="M20" s="335">
        <f aca="true" t="shared" si="12" ref="M20:R20">SUM(M6:M19)</f>
        <v>150.60000000000002</v>
      </c>
      <c r="N20" s="334">
        <f t="shared" si="12"/>
        <v>59.185800000000015</v>
      </c>
      <c r="O20" s="335">
        <f t="shared" si="12"/>
        <v>301.20000000000005</v>
      </c>
      <c r="P20" s="334">
        <f t="shared" si="12"/>
        <v>187.94879999999995</v>
      </c>
      <c r="Q20" s="335">
        <f t="shared" si="12"/>
        <v>60.239999999999995</v>
      </c>
      <c r="R20" s="340">
        <f t="shared" si="12"/>
        <v>1.5060000000000004</v>
      </c>
      <c r="T20" s="359"/>
    </row>
    <row r="21" ht="13.5">
      <c r="T21" s="359"/>
    </row>
    <row r="22" ht="13.5">
      <c r="T22" s="359"/>
    </row>
  </sheetData>
  <sheetProtection selectLockedCells="1" selectUnlockedCells="1"/>
  <mergeCells count="19">
    <mergeCell ref="A20:C20"/>
    <mergeCell ref="AF1:AJ1"/>
    <mergeCell ref="Q2:R4"/>
    <mergeCell ref="F3:I3"/>
    <mergeCell ref="O4:P4"/>
    <mergeCell ref="F2:P2"/>
    <mergeCell ref="J4:K4"/>
    <mergeCell ref="A1:R1"/>
    <mergeCell ref="V1:Z1"/>
    <mergeCell ref="A2:A5"/>
    <mergeCell ref="B2:E2"/>
    <mergeCell ref="J3:P3"/>
    <mergeCell ref="G4:G5"/>
    <mergeCell ref="H4:I4"/>
    <mergeCell ref="B3:D3"/>
    <mergeCell ref="M4:N4"/>
    <mergeCell ref="E3:E5"/>
    <mergeCell ref="L4:L5"/>
    <mergeCell ref="B4:D4"/>
  </mergeCells>
  <printOptions/>
  <pageMargins left="0.4330708661417323" right="0.15748031496062992" top="0.31" bottom="0.31496062992125984" header="0.2" footer="0.16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1"/>
  </sheetPr>
  <dimension ref="A1:AJ20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4.8515625" style="310" bestFit="1" customWidth="1"/>
    <col min="2" max="3" width="5.00390625" style="264" customWidth="1"/>
    <col min="4" max="4" width="5.28125" style="264" customWidth="1"/>
    <col min="5" max="5" width="7.7109375" style="264" customWidth="1"/>
    <col min="6" max="6" width="9.421875" style="264" bestFit="1" customWidth="1"/>
    <col min="7" max="7" width="6.421875" style="264" bestFit="1" customWidth="1"/>
    <col min="8" max="8" width="5.7109375" style="264" bestFit="1" customWidth="1"/>
    <col min="9" max="9" width="6.57421875" style="264" bestFit="1" customWidth="1"/>
    <col min="10" max="10" width="5.8515625" style="264" bestFit="1" customWidth="1"/>
    <col min="11" max="11" width="5.00390625" style="311" customWidth="1"/>
    <col min="12" max="12" width="6.28125" style="264" bestFit="1" customWidth="1"/>
    <col min="13" max="13" width="7.140625" style="264" customWidth="1"/>
    <col min="14" max="14" width="7.421875" style="264" customWidth="1"/>
    <col min="15" max="15" width="5.7109375" style="264" bestFit="1" customWidth="1"/>
    <col min="16" max="16" width="6.57421875" style="264" bestFit="1" customWidth="1"/>
    <col min="17" max="17" width="4.8515625" style="264" bestFit="1" customWidth="1"/>
    <col min="18" max="18" width="5.7109375" style="264" bestFit="1" customWidth="1"/>
    <col min="19" max="21" width="9.421875" style="264" bestFit="1" customWidth="1"/>
    <col min="22" max="22" width="7.7109375" style="264" bestFit="1" customWidth="1"/>
    <col min="23" max="23" width="10.28125" style="264" bestFit="1" customWidth="1"/>
    <col min="24" max="24" width="8.7109375" style="264" bestFit="1" customWidth="1"/>
    <col min="25" max="25" width="15.28125" style="264" bestFit="1" customWidth="1"/>
    <col min="26" max="26" width="9.28125" style="264" bestFit="1" customWidth="1"/>
    <col min="27" max="31" width="9.140625" style="264" customWidth="1"/>
    <col min="32" max="32" width="7.7109375" style="264" bestFit="1" customWidth="1"/>
    <col min="33" max="33" width="10.140625" style="264" bestFit="1" customWidth="1"/>
    <col min="34" max="34" width="8.421875" style="264" bestFit="1" customWidth="1"/>
    <col min="35" max="35" width="15.140625" style="264" customWidth="1"/>
    <col min="36" max="16384" width="9.140625" style="264" customWidth="1"/>
  </cols>
  <sheetData>
    <row r="1" spans="1:36" s="317" customFormat="1" ht="18.75" thickBot="1">
      <c r="A1" s="1123" t="s">
        <v>301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4"/>
      <c r="P1" s="1124"/>
      <c r="Q1" s="1124"/>
      <c r="R1" s="1125"/>
      <c r="S1" s="316"/>
      <c r="T1" s="316"/>
      <c r="U1" s="316"/>
      <c r="V1" s="1127"/>
      <c r="W1" s="1127"/>
      <c r="X1" s="1127"/>
      <c r="Y1" s="1127"/>
      <c r="Z1" s="1127"/>
      <c r="AA1" s="316"/>
      <c r="AB1" s="316"/>
      <c r="AC1" s="316"/>
      <c r="AD1" s="316"/>
      <c r="AE1" s="316"/>
      <c r="AF1" s="1127"/>
      <c r="AG1" s="1127"/>
      <c r="AH1" s="1127"/>
      <c r="AI1" s="1127"/>
      <c r="AJ1" s="1127"/>
    </row>
    <row r="2" spans="1:36" s="269" customFormat="1" ht="12.75">
      <c r="A2" s="1120" t="s">
        <v>258</v>
      </c>
      <c r="B2" s="1126" t="s">
        <v>259</v>
      </c>
      <c r="C2" s="1126"/>
      <c r="D2" s="1126"/>
      <c r="E2" s="1126"/>
      <c r="F2" s="1126" t="s">
        <v>260</v>
      </c>
      <c r="G2" s="1126"/>
      <c r="H2" s="1126"/>
      <c r="I2" s="1126"/>
      <c r="J2" s="1126"/>
      <c r="K2" s="1126"/>
      <c r="L2" s="1126"/>
      <c r="M2" s="1126"/>
      <c r="N2" s="1126"/>
      <c r="O2" s="1126"/>
      <c r="P2" s="1126"/>
      <c r="Q2" s="1126" t="s">
        <v>261</v>
      </c>
      <c r="R2" s="1133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</row>
    <row r="3" spans="1:36" s="269" customFormat="1" ht="15.75" customHeight="1">
      <c r="A3" s="1121"/>
      <c r="B3" s="1099" t="s">
        <v>239</v>
      </c>
      <c r="C3" s="1099"/>
      <c r="D3" s="1099"/>
      <c r="E3" s="1128" t="s">
        <v>285</v>
      </c>
      <c r="F3" s="1099" t="s">
        <v>286</v>
      </c>
      <c r="G3" s="1099"/>
      <c r="H3" s="1099"/>
      <c r="I3" s="1099"/>
      <c r="J3" s="1103" t="s">
        <v>264</v>
      </c>
      <c r="K3" s="1104"/>
      <c r="L3" s="1104"/>
      <c r="M3" s="1104"/>
      <c r="N3" s="1104"/>
      <c r="O3" s="1104"/>
      <c r="P3" s="1105"/>
      <c r="Q3" s="1099"/>
      <c r="R3" s="1134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</row>
    <row r="4" spans="1:36" s="273" customFormat="1" ht="25.5" customHeight="1">
      <c r="A4" s="1121"/>
      <c r="B4" s="1103" t="s">
        <v>302</v>
      </c>
      <c r="C4" s="1104"/>
      <c r="D4" s="1104"/>
      <c r="E4" s="1129"/>
      <c r="F4" s="270" t="s">
        <v>289</v>
      </c>
      <c r="G4" s="1099" t="s">
        <v>290</v>
      </c>
      <c r="H4" s="1099" t="s">
        <v>291</v>
      </c>
      <c r="I4" s="1099"/>
      <c r="J4" s="1103" t="s">
        <v>292</v>
      </c>
      <c r="K4" s="1105"/>
      <c r="L4" s="1135" t="s">
        <v>290</v>
      </c>
      <c r="M4" s="1099" t="s">
        <v>303</v>
      </c>
      <c r="N4" s="1099"/>
      <c r="O4" s="1099" t="s">
        <v>304</v>
      </c>
      <c r="P4" s="1099"/>
      <c r="Q4" s="1099"/>
      <c r="R4" s="1134"/>
      <c r="T4" s="349"/>
      <c r="V4" s="274"/>
      <c r="W4" s="275"/>
      <c r="X4" s="275"/>
      <c r="Y4" s="275"/>
      <c r="Z4" s="275"/>
      <c r="AF4" s="274"/>
      <c r="AG4" s="275"/>
      <c r="AH4" s="275"/>
      <c r="AI4" s="275"/>
      <c r="AJ4" s="275"/>
    </row>
    <row r="5" spans="1:36" s="273" customFormat="1" ht="13.5" thickBot="1">
      <c r="A5" s="1122"/>
      <c r="B5" s="276" t="s">
        <v>305</v>
      </c>
      <c r="C5" s="276" t="s">
        <v>306</v>
      </c>
      <c r="D5" s="277" t="s">
        <v>307</v>
      </c>
      <c r="E5" s="1130"/>
      <c r="F5" s="276" t="s">
        <v>294</v>
      </c>
      <c r="G5" s="1109"/>
      <c r="H5" s="276" t="s">
        <v>276</v>
      </c>
      <c r="I5" s="276" t="s">
        <v>277</v>
      </c>
      <c r="J5" s="276" t="s">
        <v>308</v>
      </c>
      <c r="K5" s="278" t="s">
        <v>275</v>
      </c>
      <c r="L5" s="1136"/>
      <c r="M5" s="350" t="s">
        <v>276</v>
      </c>
      <c r="N5" s="350" t="s">
        <v>277</v>
      </c>
      <c r="O5" s="278" t="s">
        <v>276</v>
      </c>
      <c r="P5" s="278" t="s">
        <v>277</v>
      </c>
      <c r="Q5" s="276" t="s">
        <v>278</v>
      </c>
      <c r="R5" s="279" t="s">
        <v>279</v>
      </c>
      <c r="T5" s="349"/>
      <c r="V5" s="274"/>
      <c r="W5" s="275"/>
      <c r="X5" s="275"/>
      <c r="Y5" s="275"/>
      <c r="Z5" s="275"/>
      <c r="AF5" s="274"/>
      <c r="AG5" s="275"/>
      <c r="AH5" s="275"/>
      <c r="AI5" s="275"/>
      <c r="AJ5" s="275"/>
    </row>
    <row r="6" spans="1:36" s="353" customFormat="1" ht="11.25" customHeight="1">
      <c r="A6" s="341" t="s">
        <v>481</v>
      </c>
      <c r="B6" s="342">
        <v>0.1</v>
      </c>
      <c r="C6" s="342">
        <v>0.3</v>
      </c>
      <c r="D6" s="342">
        <v>12</v>
      </c>
      <c r="E6" s="343">
        <f aca="true" t="shared" si="0" ref="E6:E17">(D6)*(B6)*(C6)</f>
        <v>0.36000000000000004</v>
      </c>
      <c r="F6" s="344">
        <f aca="true" t="shared" si="1" ref="F6:F17">(D6)/0.15</f>
        <v>80</v>
      </c>
      <c r="G6" s="342">
        <f aca="true" t="shared" si="2" ref="G6:G17">B6*2+C6*2</f>
        <v>0.8</v>
      </c>
      <c r="H6" s="342">
        <f aca="true" t="shared" si="3" ref="H6:H17">G6*F6</f>
        <v>64</v>
      </c>
      <c r="I6" s="343">
        <f aca="true" t="shared" si="4" ref="I6:I17">H6*S6</f>
        <v>9.856</v>
      </c>
      <c r="J6" s="330">
        <v>2</v>
      </c>
      <c r="K6" s="331">
        <v>4</v>
      </c>
      <c r="L6" s="342">
        <f aca="true" t="shared" si="5" ref="L6:L17">D6</f>
        <v>12</v>
      </c>
      <c r="M6" s="342">
        <f aca="true" t="shared" si="6" ref="M6:M17">J6*(L6)</f>
        <v>24</v>
      </c>
      <c r="N6" s="343">
        <f aca="true" t="shared" si="7" ref="N6:N17">M6*U6</f>
        <v>9.432</v>
      </c>
      <c r="O6" s="342">
        <f aca="true" t="shared" si="8" ref="O6:O17">K6*(L6)</f>
        <v>48</v>
      </c>
      <c r="P6" s="343">
        <f aca="true" t="shared" si="9" ref="P6:P17">O6*T6</f>
        <v>29.951999999999998</v>
      </c>
      <c r="Q6" s="342">
        <f aca="true" t="shared" si="10" ref="Q6:Q17">(C6+0.025)*(D6)*2+(B6*D6)</f>
        <v>9</v>
      </c>
      <c r="R6" s="346">
        <f aca="true" t="shared" si="11" ref="R6:R17">Q6*0.025</f>
        <v>0.225</v>
      </c>
      <c r="S6" s="541">
        <v>0.154</v>
      </c>
      <c r="T6" s="540">
        <v>0.624</v>
      </c>
      <c r="U6" s="540">
        <v>0.393</v>
      </c>
      <c r="V6" s="351"/>
      <c r="W6" s="352"/>
      <c r="X6" s="352"/>
      <c r="Z6" s="354"/>
      <c r="AF6" s="351"/>
      <c r="AJ6" s="354"/>
    </row>
    <row r="7" spans="1:36" s="357" customFormat="1" ht="11.25" customHeight="1">
      <c r="A7" s="319" t="s">
        <v>482</v>
      </c>
      <c r="B7" s="320">
        <v>0.1</v>
      </c>
      <c r="C7" s="320">
        <v>0.3</v>
      </c>
      <c r="D7" s="320">
        <v>8.5</v>
      </c>
      <c r="E7" s="321">
        <f t="shared" si="0"/>
        <v>0.255</v>
      </c>
      <c r="F7" s="322">
        <f t="shared" si="1"/>
        <v>56.66666666666667</v>
      </c>
      <c r="G7" s="320">
        <f t="shared" si="2"/>
        <v>0.8</v>
      </c>
      <c r="H7" s="320">
        <f t="shared" si="3"/>
        <v>45.33333333333334</v>
      </c>
      <c r="I7" s="321">
        <f t="shared" si="4"/>
        <v>6.9813333333333345</v>
      </c>
      <c r="J7" s="322">
        <v>2</v>
      </c>
      <c r="K7" s="323">
        <v>4</v>
      </c>
      <c r="L7" s="320">
        <f t="shared" si="5"/>
        <v>8.5</v>
      </c>
      <c r="M7" s="320">
        <f t="shared" si="6"/>
        <v>17</v>
      </c>
      <c r="N7" s="321">
        <f t="shared" si="7"/>
        <v>6.681</v>
      </c>
      <c r="O7" s="320">
        <f t="shared" si="8"/>
        <v>34</v>
      </c>
      <c r="P7" s="321">
        <f t="shared" si="9"/>
        <v>21.216</v>
      </c>
      <c r="Q7" s="320">
        <f t="shared" si="10"/>
        <v>6.375</v>
      </c>
      <c r="R7" s="324">
        <f t="shared" si="11"/>
        <v>0.15937500000000002</v>
      </c>
      <c r="S7" s="538">
        <v>0.154</v>
      </c>
      <c r="T7" s="539">
        <v>0.624</v>
      </c>
      <c r="U7" s="540">
        <v>0.393</v>
      </c>
      <c r="V7" s="355"/>
      <c r="W7" s="356"/>
      <c r="X7" s="356"/>
      <c r="Z7" s="358"/>
      <c r="AF7" s="355"/>
      <c r="AJ7" s="358"/>
    </row>
    <row r="8" spans="1:36" s="353" customFormat="1" ht="11.25" customHeight="1">
      <c r="A8" s="327" t="s">
        <v>365</v>
      </c>
      <c r="B8" s="328">
        <v>0.1</v>
      </c>
      <c r="C8" s="328">
        <v>0.3</v>
      </c>
      <c r="D8" s="328">
        <v>4.2</v>
      </c>
      <c r="E8" s="329">
        <f t="shared" si="0"/>
        <v>0.126</v>
      </c>
      <c r="F8" s="330">
        <f t="shared" si="1"/>
        <v>28.000000000000004</v>
      </c>
      <c r="G8" s="328">
        <f t="shared" si="2"/>
        <v>0.8</v>
      </c>
      <c r="H8" s="328">
        <f t="shared" si="3"/>
        <v>22.400000000000006</v>
      </c>
      <c r="I8" s="329">
        <f t="shared" si="4"/>
        <v>3.4496000000000007</v>
      </c>
      <c r="J8" s="330">
        <v>2</v>
      </c>
      <c r="K8" s="331">
        <v>4</v>
      </c>
      <c r="L8" s="328">
        <f t="shared" si="5"/>
        <v>4.2</v>
      </c>
      <c r="M8" s="328">
        <f t="shared" si="6"/>
        <v>8.4</v>
      </c>
      <c r="N8" s="329">
        <f t="shared" si="7"/>
        <v>3.3012</v>
      </c>
      <c r="O8" s="328">
        <f t="shared" si="8"/>
        <v>16.8</v>
      </c>
      <c r="P8" s="329">
        <f t="shared" si="9"/>
        <v>10.4832</v>
      </c>
      <c r="Q8" s="328">
        <f t="shared" si="10"/>
        <v>3.1500000000000004</v>
      </c>
      <c r="R8" s="332">
        <f t="shared" si="11"/>
        <v>0.07875000000000001</v>
      </c>
      <c r="S8" s="541">
        <v>0.154</v>
      </c>
      <c r="T8" s="540">
        <v>0.624</v>
      </c>
      <c r="U8" s="540">
        <v>0.393</v>
      </c>
      <c r="V8" s="351"/>
      <c r="W8" s="352"/>
      <c r="X8" s="352"/>
      <c r="Z8" s="354"/>
      <c r="AF8" s="351"/>
      <c r="AJ8" s="354"/>
    </row>
    <row r="9" spans="1:36" s="357" customFormat="1" ht="11.25" customHeight="1">
      <c r="A9" s="319" t="s">
        <v>450</v>
      </c>
      <c r="B9" s="320">
        <v>0.1</v>
      </c>
      <c r="C9" s="320">
        <v>0.3</v>
      </c>
      <c r="D9" s="320">
        <v>4.2</v>
      </c>
      <c r="E9" s="321">
        <f t="shared" si="0"/>
        <v>0.126</v>
      </c>
      <c r="F9" s="322">
        <f t="shared" si="1"/>
        <v>28.000000000000004</v>
      </c>
      <c r="G9" s="320">
        <f t="shared" si="2"/>
        <v>0.8</v>
      </c>
      <c r="H9" s="320">
        <f t="shared" si="3"/>
        <v>22.400000000000006</v>
      </c>
      <c r="I9" s="321">
        <f t="shared" si="4"/>
        <v>3.4496000000000007</v>
      </c>
      <c r="J9" s="322">
        <v>2</v>
      </c>
      <c r="K9" s="323">
        <v>4</v>
      </c>
      <c r="L9" s="320">
        <f t="shared" si="5"/>
        <v>4.2</v>
      </c>
      <c r="M9" s="320">
        <f t="shared" si="6"/>
        <v>8.4</v>
      </c>
      <c r="N9" s="321">
        <f t="shared" si="7"/>
        <v>3.3012</v>
      </c>
      <c r="O9" s="320">
        <f t="shared" si="8"/>
        <v>16.8</v>
      </c>
      <c r="P9" s="321">
        <f t="shared" si="9"/>
        <v>10.4832</v>
      </c>
      <c r="Q9" s="320">
        <f t="shared" si="10"/>
        <v>3.1500000000000004</v>
      </c>
      <c r="R9" s="324">
        <f t="shared" si="11"/>
        <v>0.07875000000000001</v>
      </c>
      <c r="S9" s="538">
        <v>0.154</v>
      </c>
      <c r="T9" s="539">
        <v>0.624</v>
      </c>
      <c r="U9" s="540">
        <v>0.393</v>
      </c>
      <c r="V9" s="355"/>
      <c r="W9" s="356"/>
      <c r="X9" s="356"/>
      <c r="Z9" s="358"/>
      <c r="AF9" s="355"/>
      <c r="AJ9" s="358"/>
    </row>
    <row r="10" spans="1:36" s="353" customFormat="1" ht="11.25" customHeight="1">
      <c r="A10" s="327" t="s">
        <v>452</v>
      </c>
      <c r="B10" s="328">
        <v>0.1</v>
      </c>
      <c r="C10" s="328">
        <v>0.3</v>
      </c>
      <c r="D10" s="328">
        <v>4.2</v>
      </c>
      <c r="E10" s="329">
        <f t="shared" si="0"/>
        <v>0.126</v>
      </c>
      <c r="F10" s="330">
        <f t="shared" si="1"/>
        <v>28.000000000000004</v>
      </c>
      <c r="G10" s="328">
        <f t="shared" si="2"/>
        <v>0.8</v>
      </c>
      <c r="H10" s="328">
        <f t="shared" si="3"/>
        <v>22.400000000000006</v>
      </c>
      <c r="I10" s="329">
        <f t="shared" si="4"/>
        <v>3.4496000000000007</v>
      </c>
      <c r="J10" s="330">
        <v>2</v>
      </c>
      <c r="K10" s="331">
        <v>4</v>
      </c>
      <c r="L10" s="328">
        <f t="shared" si="5"/>
        <v>4.2</v>
      </c>
      <c r="M10" s="328">
        <f t="shared" si="6"/>
        <v>8.4</v>
      </c>
      <c r="N10" s="329">
        <f t="shared" si="7"/>
        <v>3.3012</v>
      </c>
      <c r="O10" s="328">
        <f t="shared" si="8"/>
        <v>16.8</v>
      </c>
      <c r="P10" s="329">
        <f t="shared" si="9"/>
        <v>10.4832</v>
      </c>
      <c r="Q10" s="328">
        <f t="shared" si="10"/>
        <v>3.1500000000000004</v>
      </c>
      <c r="R10" s="332">
        <f t="shared" si="11"/>
        <v>0.07875000000000001</v>
      </c>
      <c r="S10" s="541">
        <v>0.154</v>
      </c>
      <c r="T10" s="540">
        <v>0.624</v>
      </c>
      <c r="U10" s="540">
        <v>0.393</v>
      </c>
      <c r="V10" s="351"/>
      <c r="W10" s="352"/>
      <c r="X10" s="352"/>
      <c r="Z10" s="354"/>
      <c r="AF10" s="351"/>
      <c r="AJ10" s="354"/>
    </row>
    <row r="11" spans="1:36" s="357" customFormat="1" ht="11.25" customHeight="1">
      <c r="A11" s="319" t="s">
        <v>453</v>
      </c>
      <c r="B11" s="320">
        <v>0.1</v>
      </c>
      <c r="C11" s="320">
        <v>0.3</v>
      </c>
      <c r="D11" s="320">
        <v>4.2</v>
      </c>
      <c r="E11" s="321">
        <f t="shared" si="0"/>
        <v>0.126</v>
      </c>
      <c r="F11" s="322">
        <f t="shared" si="1"/>
        <v>28.000000000000004</v>
      </c>
      <c r="G11" s="320">
        <f t="shared" si="2"/>
        <v>0.8</v>
      </c>
      <c r="H11" s="320">
        <f t="shared" si="3"/>
        <v>22.400000000000006</v>
      </c>
      <c r="I11" s="321">
        <f t="shared" si="4"/>
        <v>3.4496000000000007</v>
      </c>
      <c r="J11" s="322">
        <v>2</v>
      </c>
      <c r="K11" s="323">
        <v>4</v>
      </c>
      <c r="L11" s="320">
        <f t="shared" si="5"/>
        <v>4.2</v>
      </c>
      <c r="M11" s="320">
        <f t="shared" si="6"/>
        <v>8.4</v>
      </c>
      <c r="N11" s="321">
        <f t="shared" si="7"/>
        <v>3.3012</v>
      </c>
      <c r="O11" s="320">
        <f t="shared" si="8"/>
        <v>16.8</v>
      </c>
      <c r="P11" s="321">
        <f t="shared" si="9"/>
        <v>10.4832</v>
      </c>
      <c r="Q11" s="320">
        <f t="shared" si="10"/>
        <v>3.1500000000000004</v>
      </c>
      <c r="R11" s="324">
        <f t="shared" si="11"/>
        <v>0.07875000000000001</v>
      </c>
      <c r="S11" s="538">
        <v>0.154</v>
      </c>
      <c r="T11" s="539">
        <v>0.624</v>
      </c>
      <c r="U11" s="540">
        <v>0.393</v>
      </c>
      <c r="V11" s="355"/>
      <c r="W11" s="356"/>
      <c r="X11" s="356"/>
      <c r="Z11" s="358"/>
      <c r="AF11" s="355"/>
      <c r="AJ11" s="358"/>
    </row>
    <row r="12" spans="1:36" s="353" customFormat="1" ht="11.25" customHeight="1">
      <c r="A12" s="327" t="s">
        <v>454</v>
      </c>
      <c r="B12" s="328">
        <v>0.1</v>
      </c>
      <c r="C12" s="328">
        <v>0.3</v>
      </c>
      <c r="D12" s="328">
        <v>4.2</v>
      </c>
      <c r="E12" s="329">
        <f t="shared" si="0"/>
        <v>0.126</v>
      </c>
      <c r="F12" s="330">
        <f t="shared" si="1"/>
        <v>28.000000000000004</v>
      </c>
      <c r="G12" s="328">
        <f t="shared" si="2"/>
        <v>0.8</v>
      </c>
      <c r="H12" s="328">
        <f t="shared" si="3"/>
        <v>22.400000000000006</v>
      </c>
      <c r="I12" s="329">
        <f t="shared" si="4"/>
        <v>3.4496000000000007</v>
      </c>
      <c r="J12" s="330">
        <v>2</v>
      </c>
      <c r="K12" s="331">
        <v>4</v>
      </c>
      <c r="L12" s="328">
        <f t="shared" si="5"/>
        <v>4.2</v>
      </c>
      <c r="M12" s="328">
        <f t="shared" si="6"/>
        <v>8.4</v>
      </c>
      <c r="N12" s="329">
        <f t="shared" si="7"/>
        <v>3.3012</v>
      </c>
      <c r="O12" s="328">
        <f t="shared" si="8"/>
        <v>16.8</v>
      </c>
      <c r="P12" s="329">
        <f t="shared" si="9"/>
        <v>10.4832</v>
      </c>
      <c r="Q12" s="328">
        <f t="shared" si="10"/>
        <v>3.1500000000000004</v>
      </c>
      <c r="R12" s="332">
        <f t="shared" si="11"/>
        <v>0.07875000000000001</v>
      </c>
      <c r="S12" s="541">
        <v>0.154</v>
      </c>
      <c r="T12" s="540">
        <v>0.624</v>
      </c>
      <c r="U12" s="540">
        <v>0.393</v>
      </c>
      <c r="V12" s="351"/>
      <c r="W12" s="352"/>
      <c r="X12" s="352"/>
      <c r="Z12" s="354"/>
      <c r="AF12" s="351"/>
      <c r="AJ12" s="354"/>
    </row>
    <row r="13" spans="1:36" s="357" customFormat="1" ht="11.25" customHeight="1">
      <c r="A13" s="319" t="s">
        <v>455</v>
      </c>
      <c r="B13" s="320">
        <v>0.1</v>
      </c>
      <c r="C13" s="320">
        <v>0.3</v>
      </c>
      <c r="D13" s="320">
        <v>4.2</v>
      </c>
      <c r="E13" s="321">
        <f t="shared" si="0"/>
        <v>0.126</v>
      </c>
      <c r="F13" s="322">
        <f t="shared" si="1"/>
        <v>28.000000000000004</v>
      </c>
      <c r="G13" s="320">
        <f t="shared" si="2"/>
        <v>0.8</v>
      </c>
      <c r="H13" s="320">
        <f t="shared" si="3"/>
        <v>22.400000000000006</v>
      </c>
      <c r="I13" s="321">
        <f t="shared" si="4"/>
        <v>3.4496000000000007</v>
      </c>
      <c r="J13" s="322">
        <v>2</v>
      </c>
      <c r="K13" s="323">
        <v>4</v>
      </c>
      <c r="L13" s="320">
        <f t="shared" si="5"/>
        <v>4.2</v>
      </c>
      <c r="M13" s="320">
        <f t="shared" si="6"/>
        <v>8.4</v>
      </c>
      <c r="N13" s="321">
        <f t="shared" si="7"/>
        <v>3.3012</v>
      </c>
      <c r="O13" s="320">
        <f t="shared" si="8"/>
        <v>16.8</v>
      </c>
      <c r="P13" s="321">
        <f t="shared" si="9"/>
        <v>10.4832</v>
      </c>
      <c r="Q13" s="320">
        <f t="shared" si="10"/>
        <v>3.1500000000000004</v>
      </c>
      <c r="R13" s="324">
        <f t="shared" si="11"/>
        <v>0.07875000000000001</v>
      </c>
      <c r="S13" s="538">
        <v>0.154</v>
      </c>
      <c r="T13" s="539">
        <v>0.624</v>
      </c>
      <c r="U13" s="540">
        <v>0.393</v>
      </c>
      <c r="V13" s="355"/>
      <c r="W13" s="356"/>
      <c r="X13" s="356"/>
      <c r="Z13" s="358"/>
      <c r="AF13" s="355"/>
      <c r="AJ13" s="358"/>
    </row>
    <row r="14" spans="1:36" s="353" customFormat="1" ht="11.25" customHeight="1">
      <c r="A14" s="327" t="s">
        <v>456</v>
      </c>
      <c r="B14" s="328">
        <v>0.1</v>
      </c>
      <c r="C14" s="328">
        <v>0.3</v>
      </c>
      <c r="D14" s="328">
        <v>4.2</v>
      </c>
      <c r="E14" s="329">
        <f t="shared" si="0"/>
        <v>0.126</v>
      </c>
      <c r="F14" s="330">
        <f t="shared" si="1"/>
        <v>28.000000000000004</v>
      </c>
      <c r="G14" s="328">
        <f t="shared" si="2"/>
        <v>0.8</v>
      </c>
      <c r="H14" s="328">
        <f t="shared" si="3"/>
        <v>22.400000000000006</v>
      </c>
      <c r="I14" s="329">
        <f t="shared" si="4"/>
        <v>3.4496000000000007</v>
      </c>
      <c r="J14" s="330">
        <v>2</v>
      </c>
      <c r="K14" s="331">
        <v>4</v>
      </c>
      <c r="L14" s="328">
        <f t="shared" si="5"/>
        <v>4.2</v>
      </c>
      <c r="M14" s="328">
        <f t="shared" si="6"/>
        <v>8.4</v>
      </c>
      <c r="N14" s="329">
        <f t="shared" si="7"/>
        <v>3.3012</v>
      </c>
      <c r="O14" s="328">
        <f t="shared" si="8"/>
        <v>16.8</v>
      </c>
      <c r="P14" s="329">
        <f t="shared" si="9"/>
        <v>10.4832</v>
      </c>
      <c r="Q14" s="328">
        <f t="shared" si="10"/>
        <v>3.1500000000000004</v>
      </c>
      <c r="R14" s="332">
        <f t="shared" si="11"/>
        <v>0.07875000000000001</v>
      </c>
      <c r="S14" s="541">
        <v>0.154</v>
      </c>
      <c r="T14" s="540">
        <v>0.624</v>
      </c>
      <c r="U14" s="540">
        <v>0.393</v>
      </c>
      <c r="V14" s="351"/>
      <c r="W14" s="352"/>
      <c r="X14" s="352"/>
      <c r="Z14" s="354"/>
      <c r="AF14" s="351"/>
      <c r="AJ14" s="354"/>
    </row>
    <row r="15" spans="1:36" s="357" customFormat="1" ht="11.25" customHeight="1">
      <c r="A15" s="319" t="s">
        <v>457</v>
      </c>
      <c r="B15" s="320">
        <v>0.1</v>
      </c>
      <c r="C15" s="320">
        <v>0.3</v>
      </c>
      <c r="D15" s="320">
        <v>4.2</v>
      </c>
      <c r="E15" s="321">
        <f t="shared" si="0"/>
        <v>0.126</v>
      </c>
      <c r="F15" s="322">
        <f t="shared" si="1"/>
        <v>28.000000000000004</v>
      </c>
      <c r="G15" s="320">
        <f t="shared" si="2"/>
        <v>0.8</v>
      </c>
      <c r="H15" s="320">
        <f t="shared" si="3"/>
        <v>22.400000000000006</v>
      </c>
      <c r="I15" s="321">
        <f t="shared" si="4"/>
        <v>3.4496000000000007</v>
      </c>
      <c r="J15" s="322">
        <v>2</v>
      </c>
      <c r="K15" s="323">
        <v>4</v>
      </c>
      <c r="L15" s="320">
        <f t="shared" si="5"/>
        <v>4.2</v>
      </c>
      <c r="M15" s="320">
        <f t="shared" si="6"/>
        <v>8.4</v>
      </c>
      <c r="N15" s="321">
        <f t="shared" si="7"/>
        <v>3.3012</v>
      </c>
      <c r="O15" s="320">
        <f t="shared" si="8"/>
        <v>16.8</v>
      </c>
      <c r="P15" s="321">
        <f t="shared" si="9"/>
        <v>10.4832</v>
      </c>
      <c r="Q15" s="320">
        <f t="shared" si="10"/>
        <v>3.1500000000000004</v>
      </c>
      <c r="R15" s="324">
        <f t="shared" si="11"/>
        <v>0.07875000000000001</v>
      </c>
      <c r="S15" s="538">
        <v>0.154</v>
      </c>
      <c r="T15" s="539">
        <v>0.624</v>
      </c>
      <c r="U15" s="540">
        <v>0.393</v>
      </c>
      <c r="V15" s="355"/>
      <c r="W15" s="356"/>
      <c r="X15" s="356"/>
      <c r="Z15" s="358"/>
      <c r="AF15" s="355"/>
      <c r="AJ15" s="358"/>
    </row>
    <row r="16" spans="1:36" s="353" customFormat="1" ht="11.25" customHeight="1">
      <c r="A16" s="327" t="s">
        <v>458</v>
      </c>
      <c r="B16" s="328">
        <v>0.1</v>
      </c>
      <c r="C16" s="328">
        <v>0.3</v>
      </c>
      <c r="D16" s="328">
        <v>12</v>
      </c>
      <c r="E16" s="329">
        <f t="shared" si="0"/>
        <v>0.36000000000000004</v>
      </c>
      <c r="F16" s="330">
        <f t="shared" si="1"/>
        <v>80</v>
      </c>
      <c r="G16" s="328">
        <f t="shared" si="2"/>
        <v>0.8</v>
      </c>
      <c r="H16" s="328">
        <f t="shared" si="3"/>
        <v>64</v>
      </c>
      <c r="I16" s="329">
        <f t="shared" si="4"/>
        <v>9.856</v>
      </c>
      <c r="J16" s="330">
        <v>2</v>
      </c>
      <c r="K16" s="331">
        <v>4</v>
      </c>
      <c r="L16" s="328">
        <f t="shared" si="5"/>
        <v>12</v>
      </c>
      <c r="M16" s="328">
        <f t="shared" si="6"/>
        <v>24</v>
      </c>
      <c r="N16" s="329">
        <f t="shared" si="7"/>
        <v>9.432</v>
      </c>
      <c r="O16" s="328">
        <f t="shared" si="8"/>
        <v>48</v>
      </c>
      <c r="P16" s="329">
        <f t="shared" si="9"/>
        <v>29.951999999999998</v>
      </c>
      <c r="Q16" s="328">
        <f t="shared" si="10"/>
        <v>9</v>
      </c>
      <c r="R16" s="332">
        <f t="shared" si="11"/>
        <v>0.225</v>
      </c>
      <c r="S16" s="541">
        <v>0.154</v>
      </c>
      <c r="T16" s="540">
        <v>0.624</v>
      </c>
      <c r="U16" s="540">
        <v>0.393</v>
      </c>
      <c r="V16" s="351"/>
      <c r="W16" s="352"/>
      <c r="X16" s="352"/>
      <c r="Z16" s="354"/>
      <c r="AF16" s="351"/>
      <c r="AJ16" s="354"/>
    </row>
    <row r="17" spans="1:36" s="357" customFormat="1" ht="11.25" customHeight="1">
      <c r="A17" s="319" t="s">
        <v>459</v>
      </c>
      <c r="B17" s="320">
        <v>0.1</v>
      </c>
      <c r="C17" s="320">
        <v>0.3</v>
      </c>
      <c r="D17" s="320">
        <v>7.5</v>
      </c>
      <c r="E17" s="321">
        <f t="shared" si="0"/>
        <v>0.22499999999999998</v>
      </c>
      <c r="F17" s="322">
        <f t="shared" si="1"/>
        <v>50</v>
      </c>
      <c r="G17" s="320">
        <f t="shared" si="2"/>
        <v>0.8</v>
      </c>
      <c r="H17" s="320">
        <f t="shared" si="3"/>
        <v>40</v>
      </c>
      <c r="I17" s="321">
        <f t="shared" si="4"/>
        <v>6.16</v>
      </c>
      <c r="J17" s="322">
        <v>2</v>
      </c>
      <c r="K17" s="323">
        <v>4</v>
      </c>
      <c r="L17" s="320">
        <f t="shared" si="5"/>
        <v>7.5</v>
      </c>
      <c r="M17" s="320">
        <f t="shared" si="6"/>
        <v>15</v>
      </c>
      <c r="N17" s="321">
        <f t="shared" si="7"/>
        <v>5.8950000000000005</v>
      </c>
      <c r="O17" s="320">
        <f t="shared" si="8"/>
        <v>30</v>
      </c>
      <c r="P17" s="321">
        <f t="shared" si="9"/>
        <v>18.72</v>
      </c>
      <c r="Q17" s="320">
        <f t="shared" si="10"/>
        <v>5.625</v>
      </c>
      <c r="R17" s="324">
        <f t="shared" si="11"/>
        <v>0.140625</v>
      </c>
      <c r="S17" s="538">
        <v>0.154</v>
      </c>
      <c r="T17" s="539">
        <v>0.624</v>
      </c>
      <c r="U17" s="540">
        <v>0.393</v>
      </c>
      <c r="V17" s="355"/>
      <c r="W17" s="356"/>
      <c r="X17" s="356"/>
      <c r="Z17" s="358"/>
      <c r="AF17" s="355"/>
      <c r="AJ17" s="358"/>
    </row>
    <row r="18" spans="1:20" ht="14.25" thickBot="1">
      <c r="A18" s="1131" t="s">
        <v>282</v>
      </c>
      <c r="B18" s="1132"/>
      <c r="C18" s="1132"/>
      <c r="D18" s="333" t="s">
        <v>283</v>
      </c>
      <c r="E18" s="334">
        <f>SUM(E6:E17)</f>
        <v>2.2079999999999997</v>
      </c>
      <c r="F18" s="338">
        <f>SUM(F6:F17)</f>
        <v>490.6666666666667</v>
      </c>
      <c r="G18" s="335" t="s">
        <v>283</v>
      </c>
      <c r="H18" s="335">
        <f>SUM(H6:H17)</f>
        <v>392.5333333333334</v>
      </c>
      <c r="I18" s="334">
        <f>SUM(I6:I17)</f>
        <v>60.450133333333355</v>
      </c>
      <c r="J18" s="334" t="s">
        <v>283</v>
      </c>
      <c r="K18" s="338" t="s">
        <v>283</v>
      </c>
      <c r="L18" s="335" t="s">
        <v>283</v>
      </c>
      <c r="M18" s="335">
        <f aca="true" t="shared" si="12" ref="M18:R18">SUM(M6:M17)</f>
        <v>147.20000000000005</v>
      </c>
      <c r="N18" s="334">
        <f t="shared" si="12"/>
        <v>57.84960000000002</v>
      </c>
      <c r="O18" s="335">
        <f t="shared" si="12"/>
        <v>294.4000000000001</v>
      </c>
      <c r="P18" s="334">
        <f t="shared" si="12"/>
        <v>183.70559999999998</v>
      </c>
      <c r="Q18" s="335">
        <f t="shared" si="12"/>
        <v>55.19999999999999</v>
      </c>
      <c r="R18" s="340">
        <f t="shared" si="12"/>
        <v>1.3800000000000001</v>
      </c>
      <c r="T18" s="359"/>
    </row>
    <row r="19" ht="13.5">
      <c r="T19" s="359"/>
    </row>
    <row r="20" ht="13.5">
      <c r="T20" s="359"/>
    </row>
  </sheetData>
  <sheetProtection selectLockedCells="1" selectUnlockedCells="1"/>
  <mergeCells count="19">
    <mergeCell ref="B2:E2"/>
    <mergeCell ref="J3:P3"/>
    <mergeCell ref="G4:G5"/>
    <mergeCell ref="H4:I4"/>
    <mergeCell ref="B3:D3"/>
    <mergeCell ref="M4:N4"/>
    <mergeCell ref="E3:E5"/>
    <mergeCell ref="L4:L5"/>
    <mergeCell ref="B4:D4"/>
    <mergeCell ref="A18:C18"/>
    <mergeCell ref="AF1:AJ1"/>
    <mergeCell ref="Q2:R4"/>
    <mergeCell ref="F3:I3"/>
    <mergeCell ref="O4:P4"/>
    <mergeCell ref="F2:P2"/>
    <mergeCell ref="J4:K4"/>
    <mergeCell ref="A1:R1"/>
    <mergeCell ref="V1:Z1"/>
    <mergeCell ref="A2:A5"/>
  </mergeCells>
  <printOptions/>
  <pageMargins left="0.4330708661417323" right="0.15748031496062992" top="0.31" bottom="0.31496062992125984" header="0.2" footer="0.16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8"/>
  </sheetPr>
  <dimension ref="A1:M32"/>
  <sheetViews>
    <sheetView view="pageBreakPreview" zoomScaleSheetLayoutView="100" zoomScalePageLayoutView="0" workbookViewId="0" topLeftCell="A1">
      <selection activeCell="F13" sqref="F13:I13"/>
    </sheetView>
  </sheetViews>
  <sheetFormatPr defaultColWidth="9.140625" defaultRowHeight="12.75"/>
  <cols>
    <col min="1" max="1" width="19.8515625" style="0" customWidth="1"/>
    <col min="3" max="3" width="7.7109375" style="0" bestFit="1" customWidth="1"/>
    <col min="4" max="4" width="9.00390625" style="0" bestFit="1" customWidth="1"/>
    <col min="5" max="5" width="8.7109375" style="0" bestFit="1" customWidth="1"/>
    <col min="6" max="6" width="9.57421875" style="0" bestFit="1" customWidth="1"/>
    <col min="7" max="8" width="8.140625" style="0" bestFit="1" customWidth="1"/>
    <col min="10" max="10" width="7.57421875" style="0" customWidth="1"/>
    <col min="11" max="11" width="7.28125" style="0" customWidth="1"/>
    <col min="12" max="12" width="10.8515625" style="0" customWidth="1"/>
    <col min="13" max="13" width="9.7109375" style="0" customWidth="1"/>
  </cols>
  <sheetData>
    <row r="1" spans="1:13" ht="21" thickBot="1">
      <c r="A1" s="1137" t="s">
        <v>375</v>
      </c>
      <c r="B1" s="1137"/>
      <c r="C1" s="1137"/>
      <c r="D1" s="1137"/>
      <c r="E1" s="1137"/>
      <c r="F1" s="1137"/>
      <c r="G1" s="1137"/>
      <c r="H1" s="1137"/>
      <c r="I1" s="1137"/>
      <c r="J1" s="1137"/>
      <c r="K1" s="1137"/>
      <c r="L1" s="1137"/>
      <c r="M1" s="1137"/>
    </row>
    <row r="2" spans="1:13" ht="24" customHeight="1">
      <c r="A2" s="1144" t="s">
        <v>311</v>
      </c>
      <c r="B2" s="1145"/>
      <c r="C2" s="1145"/>
      <c r="D2" s="1145"/>
      <c r="E2" s="1145"/>
      <c r="F2" s="1145"/>
      <c r="G2" s="1145"/>
      <c r="H2" s="1145"/>
      <c r="I2" s="1145"/>
      <c r="J2" s="1146" t="s">
        <v>312</v>
      </c>
      <c r="K2" s="1146"/>
      <c r="L2" s="1147" t="s">
        <v>313</v>
      </c>
      <c r="M2" s="1140" t="s">
        <v>314</v>
      </c>
    </row>
    <row r="3" spans="1:13" ht="14.25">
      <c r="A3" s="360" t="s">
        <v>73</v>
      </c>
      <c r="B3" s="361" t="s">
        <v>315</v>
      </c>
      <c r="C3" s="361" t="s">
        <v>366</v>
      </c>
      <c r="D3" s="361" t="s">
        <v>316</v>
      </c>
      <c r="E3" s="361" t="s">
        <v>317</v>
      </c>
      <c r="F3" s="361" t="s">
        <v>318</v>
      </c>
      <c r="G3" s="361" t="s">
        <v>367</v>
      </c>
      <c r="H3" s="361" t="s">
        <v>319</v>
      </c>
      <c r="I3" s="361" t="s">
        <v>320</v>
      </c>
      <c r="J3" s="361" t="s">
        <v>128</v>
      </c>
      <c r="K3" s="361" t="s">
        <v>142</v>
      </c>
      <c r="L3" s="1148"/>
      <c r="M3" s="1141"/>
    </row>
    <row r="4" spans="1:13" ht="12.75">
      <c r="A4" s="362" t="s">
        <v>368</v>
      </c>
      <c r="B4" s="364">
        <f>LAJES1!E9</f>
        <v>2027.7333333333336</v>
      </c>
      <c r="C4" s="364">
        <f>LAJES1!L9</f>
        <v>364.9</v>
      </c>
      <c r="D4" s="363" t="s">
        <v>283</v>
      </c>
      <c r="E4" s="363" t="s">
        <v>283</v>
      </c>
      <c r="F4" s="364">
        <f>B4*F18</f>
        <v>312.27093333333335</v>
      </c>
      <c r="G4" s="364">
        <f>C4*G19</f>
        <v>90.4952</v>
      </c>
      <c r="H4" s="363" t="s">
        <v>283</v>
      </c>
      <c r="I4" s="363" t="s">
        <v>283</v>
      </c>
      <c r="J4" s="364">
        <f>LAJES1!N9</f>
        <v>152.08</v>
      </c>
      <c r="K4" s="365">
        <f aca="true" t="shared" si="0" ref="K4:K10">J4*0.025</f>
        <v>3.8020000000000005</v>
      </c>
      <c r="L4" s="366">
        <f>LAJES1!D9</f>
        <v>12.166400000000001</v>
      </c>
      <c r="M4" s="367">
        <f aca="true" t="shared" si="1" ref="M4:M11">L4*5%+L4</f>
        <v>12.774720000000002</v>
      </c>
    </row>
    <row r="5" spans="1:13" ht="12.75">
      <c r="A5" s="362" t="s">
        <v>321</v>
      </c>
      <c r="B5" s="363" t="s">
        <v>283</v>
      </c>
      <c r="C5" s="363" t="s">
        <v>283</v>
      </c>
      <c r="D5" s="364">
        <f>'FUNDAÇÕES (2)'!M7</f>
        <v>208</v>
      </c>
      <c r="E5" s="363" t="s">
        <v>283</v>
      </c>
      <c r="F5" s="363" t="s">
        <v>283</v>
      </c>
      <c r="G5" s="363" t="s">
        <v>283</v>
      </c>
      <c r="H5" s="364">
        <f>D5*H20</f>
        <v>129.792</v>
      </c>
      <c r="I5" s="363" t="s">
        <v>283</v>
      </c>
      <c r="J5" s="364">
        <f>'FUNDAÇÕES (2)'!O7</f>
        <v>1.56</v>
      </c>
      <c r="K5" s="365">
        <f t="shared" si="0"/>
        <v>0.03900000000000001</v>
      </c>
      <c r="L5" s="366">
        <f>'FUNDAÇÕES (2)'!H7</f>
        <v>1.56</v>
      </c>
      <c r="M5" s="367">
        <f t="shared" si="1"/>
        <v>1.6380000000000001</v>
      </c>
    </row>
    <row r="6" spans="1:13" ht="12.75">
      <c r="A6" s="362" t="s">
        <v>322</v>
      </c>
      <c r="B6" s="364">
        <f>'ARRANQUE (2)'!H19</f>
        <v>175.49999999999997</v>
      </c>
      <c r="C6" s="363" t="s">
        <v>283</v>
      </c>
      <c r="D6" s="364">
        <f>'ARRANQUE (2)'!L19</f>
        <v>163.79999999999998</v>
      </c>
      <c r="E6" s="363" t="s">
        <v>283</v>
      </c>
      <c r="F6" s="363" t="s">
        <v>283</v>
      </c>
      <c r="G6" s="363" t="s">
        <v>283</v>
      </c>
      <c r="H6" s="364">
        <f>D6*H20</f>
        <v>102.21119999999999</v>
      </c>
      <c r="I6" s="363" t="s">
        <v>283</v>
      </c>
      <c r="J6" s="364">
        <f>'ARRANQUE (2)'!N19</f>
        <v>19.499999999999996</v>
      </c>
      <c r="K6" s="365">
        <f t="shared" si="0"/>
        <v>0.48749999999999993</v>
      </c>
      <c r="L6" s="366">
        <f>'ARRANQUE (2)'!E19</f>
        <v>0.8775</v>
      </c>
      <c r="M6" s="367">
        <f t="shared" si="1"/>
        <v>0.9213749999999999</v>
      </c>
    </row>
    <row r="7" spans="1:13" ht="12.75">
      <c r="A7" s="362" t="s">
        <v>323</v>
      </c>
      <c r="B7" s="364">
        <f>'PILARES 1 (2)'!H19</f>
        <v>343.20000000000005</v>
      </c>
      <c r="C7" s="363" t="s">
        <v>283</v>
      </c>
      <c r="D7" s="364">
        <f>'PILARES 1 (2)'!L19</f>
        <v>389.99999999999983</v>
      </c>
      <c r="E7" s="363" t="s">
        <v>283</v>
      </c>
      <c r="F7" s="364">
        <f>B7*F18</f>
        <v>52.85280000000001</v>
      </c>
      <c r="G7" s="363" t="s">
        <v>283</v>
      </c>
      <c r="H7" s="364">
        <f>D7*H20</f>
        <v>243.3599999999999</v>
      </c>
      <c r="I7" s="363" t="s">
        <v>283</v>
      </c>
      <c r="J7" s="364">
        <f>'PILARES 1 (2)'!N19</f>
        <v>57.199999999999974</v>
      </c>
      <c r="K7" s="365">
        <f t="shared" si="0"/>
        <v>1.4299999999999995</v>
      </c>
      <c r="L7" s="365">
        <f>'PILARES 1 (2)'!E19</f>
        <v>2.5739999999999994</v>
      </c>
      <c r="M7" s="367">
        <f t="shared" si="1"/>
        <v>2.702699999999999</v>
      </c>
    </row>
    <row r="8" spans="1:13" ht="12.75">
      <c r="A8" s="362" t="s">
        <v>369</v>
      </c>
      <c r="B8" s="364">
        <f>'VIGAS 1'!H9</f>
        <v>115.5</v>
      </c>
      <c r="C8" s="363" t="s">
        <v>283</v>
      </c>
      <c r="D8" s="368">
        <f>'VIGAS 1'!O9</f>
        <v>77</v>
      </c>
      <c r="E8" s="368">
        <f>'VIGAS 1'!M9</f>
        <v>38.5</v>
      </c>
      <c r="F8" s="364">
        <f>B8*F18</f>
        <v>17.787</v>
      </c>
      <c r="G8" s="363" t="s">
        <v>283</v>
      </c>
      <c r="H8" s="364">
        <f>D8*H20</f>
        <v>48.048</v>
      </c>
      <c r="I8" s="364">
        <f>E8*I21</f>
        <v>15.130500000000001</v>
      </c>
      <c r="J8" s="364">
        <f>'VIGAS 1'!Q9</f>
        <v>15.4</v>
      </c>
      <c r="K8" s="365">
        <f t="shared" si="0"/>
        <v>0.385</v>
      </c>
      <c r="L8" s="366">
        <f>'VIGAS 1'!E9</f>
        <v>0.86625</v>
      </c>
      <c r="M8" s="367">
        <f t="shared" si="1"/>
        <v>0.9095624999999999</v>
      </c>
    </row>
    <row r="9" spans="1:13" ht="12.75">
      <c r="A9" s="362" t="s">
        <v>324</v>
      </c>
      <c r="B9" s="364">
        <f>'VIGAS 2 (2)'!H20</f>
        <v>451.7999999999999</v>
      </c>
      <c r="C9" s="363" t="s">
        <v>283</v>
      </c>
      <c r="D9" s="368">
        <f>'VIGAS 2 (2)'!O20</f>
        <v>301.20000000000005</v>
      </c>
      <c r="E9" s="368">
        <f>'VIGAS 2 (2)'!M20</f>
        <v>150.60000000000002</v>
      </c>
      <c r="F9" s="364">
        <f>B9*F18</f>
        <v>69.57719999999998</v>
      </c>
      <c r="G9" s="363" t="s">
        <v>283</v>
      </c>
      <c r="H9" s="364">
        <f>D9*H20</f>
        <v>187.94880000000003</v>
      </c>
      <c r="I9" s="364">
        <f>E9*I21</f>
        <v>59.185800000000015</v>
      </c>
      <c r="J9" s="368">
        <f>'VIGAS 2 (2)'!Q20</f>
        <v>60.239999999999995</v>
      </c>
      <c r="K9" s="365">
        <f t="shared" si="0"/>
        <v>1.506</v>
      </c>
      <c r="L9" s="369">
        <f>'VIGAS 2 (2)'!E20</f>
        <v>3.3885000000000005</v>
      </c>
      <c r="M9" s="367">
        <f t="shared" si="1"/>
        <v>3.5579250000000004</v>
      </c>
    </row>
    <row r="10" spans="1:13" ht="12.75">
      <c r="A10" s="362" t="s">
        <v>370</v>
      </c>
      <c r="B10" s="364">
        <f>'VIGAS 3'!H18</f>
        <v>392.5333333333334</v>
      </c>
      <c r="C10" s="363" t="s">
        <v>283</v>
      </c>
      <c r="D10" s="368">
        <f>'VIGAS 3'!O18</f>
        <v>294.4000000000001</v>
      </c>
      <c r="E10" s="368">
        <f>'VIGAS 3'!M18</f>
        <v>147.20000000000005</v>
      </c>
      <c r="F10" s="364">
        <f>B10*F18</f>
        <v>60.45013333333335</v>
      </c>
      <c r="G10" s="363" t="s">
        <v>283</v>
      </c>
      <c r="H10" s="364">
        <f>D10*H20</f>
        <v>183.70560000000006</v>
      </c>
      <c r="I10" s="364">
        <f>E10*I21</f>
        <v>57.849600000000024</v>
      </c>
      <c r="J10" s="368">
        <f>'VIGAS 3'!Q18</f>
        <v>55.19999999999999</v>
      </c>
      <c r="K10" s="365">
        <f t="shared" si="0"/>
        <v>1.38</v>
      </c>
      <c r="L10" s="369">
        <f>'VIGAS 3'!E18</f>
        <v>2.2079999999999997</v>
      </c>
      <c r="M10" s="367">
        <f t="shared" si="1"/>
        <v>2.3183999999999996</v>
      </c>
    </row>
    <row r="11" spans="1:13" ht="12.75">
      <c r="A11" s="362" t="s">
        <v>325</v>
      </c>
      <c r="B11" s="370">
        <f>SUM(B4:B10)</f>
        <v>3506.2666666666664</v>
      </c>
      <c r="C11" s="370">
        <f>SUM(C4:C10)</f>
        <v>364.9</v>
      </c>
      <c r="D11" s="370">
        <f>SUM(D4:D10)</f>
        <v>1434.3999999999999</v>
      </c>
      <c r="E11" s="370">
        <f>SUM(E4:E10)</f>
        <v>336.30000000000007</v>
      </c>
      <c r="F11" s="363" t="s">
        <v>283</v>
      </c>
      <c r="G11" s="363" t="s">
        <v>283</v>
      </c>
      <c r="H11" s="363" t="s">
        <v>283</v>
      </c>
      <c r="I11" s="363" t="s">
        <v>283</v>
      </c>
      <c r="J11" s="371">
        <f>SUM(J4:J10)</f>
        <v>361.17999999999995</v>
      </c>
      <c r="K11" s="372">
        <f>SUM(K4:K10)</f>
        <v>9.0295</v>
      </c>
      <c r="L11" s="373">
        <f>SUM(L4:L10)</f>
        <v>23.64065</v>
      </c>
      <c r="M11" s="374">
        <f t="shared" si="1"/>
        <v>24.8226825</v>
      </c>
    </row>
    <row r="12" spans="1:13" ht="12.75">
      <c r="A12" s="362" t="s">
        <v>326</v>
      </c>
      <c r="B12" s="375">
        <f>B11/12</f>
        <v>292.18888888888887</v>
      </c>
      <c r="C12" s="376">
        <f>C11/12</f>
        <v>30.40833333333333</v>
      </c>
      <c r="D12" s="376">
        <f>D11/12</f>
        <v>119.53333333333332</v>
      </c>
      <c r="E12" s="376">
        <f>E11/12</f>
        <v>28.025000000000006</v>
      </c>
      <c r="F12" s="363" t="s">
        <v>283</v>
      </c>
      <c r="G12" s="363" t="s">
        <v>283</v>
      </c>
      <c r="H12" s="363" t="s">
        <v>283</v>
      </c>
      <c r="I12" s="363" t="s">
        <v>283</v>
      </c>
      <c r="J12" s="377"/>
      <c r="K12" s="378"/>
      <c r="L12" s="378"/>
      <c r="M12" s="379"/>
    </row>
    <row r="13" spans="1:13" ht="13.5" thickBot="1">
      <c r="A13" s="380" t="s">
        <v>327</v>
      </c>
      <c r="B13" s="381"/>
      <c r="C13" s="382"/>
      <c r="D13" s="382"/>
      <c r="E13" s="382"/>
      <c r="F13" s="383">
        <f>SUM(F4:F12)</f>
        <v>512.9380666666667</v>
      </c>
      <c r="G13" s="383">
        <f>SUM(G4:G10)</f>
        <v>90.4952</v>
      </c>
      <c r="H13" s="383">
        <f>SUM(H4:H12)</f>
        <v>895.0655999999999</v>
      </c>
      <c r="I13" s="383">
        <f>SUM(I4:I12)</f>
        <v>132.16590000000002</v>
      </c>
      <c r="J13" s="384"/>
      <c r="K13" s="385"/>
      <c r="L13" s="385"/>
      <c r="M13" s="386"/>
    </row>
    <row r="14" spans="1:13" ht="13.5" thickBot="1">
      <c r="A14" s="387" t="s">
        <v>328</v>
      </c>
      <c r="B14" s="388"/>
      <c r="C14" s="388"/>
      <c r="D14" s="388"/>
      <c r="E14" s="388"/>
      <c r="F14" s="389">
        <f>F13*5%+F13</f>
        <v>538.58497</v>
      </c>
      <c r="G14" s="389">
        <f>G13*5%+G13</f>
        <v>95.01996</v>
      </c>
      <c r="H14" s="389">
        <f>H13*5%+H13</f>
        <v>939.8188799999999</v>
      </c>
      <c r="I14" s="389">
        <f>I13*5%+I13</f>
        <v>138.77419500000002</v>
      </c>
      <c r="J14" s="384"/>
      <c r="K14" s="385"/>
      <c r="L14" s="385"/>
      <c r="M14" s="386"/>
    </row>
    <row r="15" spans="1:13" ht="13.5" thickBot="1">
      <c r="A15" s="390" t="s">
        <v>329</v>
      </c>
      <c r="B15" s="391"/>
      <c r="C15" s="391"/>
      <c r="D15" s="391"/>
      <c r="E15" s="391"/>
      <c r="F15" s="1142">
        <f>F14+G14+H14+I14</f>
        <v>1712.1980049999997</v>
      </c>
      <c r="G15" s="1143"/>
      <c r="H15" s="1143"/>
      <c r="I15" s="1143"/>
      <c r="J15" s="392"/>
      <c r="K15" s="393"/>
      <c r="L15" s="393"/>
      <c r="M15" s="394"/>
    </row>
    <row r="16" spans="1:13" s="264" customFormat="1" ht="13.5">
      <c r="A16" s="1139"/>
      <c r="B16" s="1139"/>
      <c r="C16" s="1139"/>
      <c r="D16" s="1139"/>
      <c r="E16" s="1139"/>
      <c r="F16" s="1139"/>
      <c r="G16" s="1139"/>
      <c r="H16" s="1139"/>
      <c r="I16" s="1139"/>
      <c r="J16" s="395"/>
      <c r="K16" s="395"/>
      <c r="L16" s="396"/>
      <c r="M16" s="397"/>
    </row>
    <row r="17" spans="1:13" s="264" customFormat="1" ht="13.5">
      <c r="A17" s="1138" t="s">
        <v>330</v>
      </c>
      <c r="B17" s="1138"/>
      <c r="C17" s="1138"/>
      <c r="D17" s="1138"/>
      <c r="E17" s="1138"/>
      <c r="F17" s="395"/>
      <c r="G17" s="395"/>
      <c r="H17" s="395"/>
      <c r="I17" s="395"/>
      <c r="J17" s="395"/>
      <c r="K17" s="395"/>
      <c r="L17" s="396"/>
      <c r="M17" s="395"/>
    </row>
    <row r="18" spans="1:13" s="264" customFormat="1" ht="13.5">
      <c r="A18" s="1138" t="s">
        <v>331</v>
      </c>
      <c r="B18" s="1138"/>
      <c r="C18" s="1138"/>
      <c r="D18" s="1138"/>
      <c r="E18" s="1138"/>
      <c r="F18" s="398">
        <v>0.154</v>
      </c>
      <c r="G18" s="398"/>
      <c r="H18" s="398"/>
      <c r="I18" s="398"/>
      <c r="J18" s="398"/>
      <c r="K18" s="395"/>
      <c r="L18" s="396"/>
      <c r="M18" s="395"/>
    </row>
    <row r="19" spans="1:13" s="264" customFormat="1" ht="13.5">
      <c r="A19" s="1138" t="s">
        <v>332</v>
      </c>
      <c r="B19" s="1138"/>
      <c r="C19" s="1138"/>
      <c r="D19" s="1138"/>
      <c r="E19" s="1138"/>
      <c r="F19" s="398"/>
      <c r="G19" s="398">
        <v>0.248</v>
      </c>
      <c r="H19" s="398"/>
      <c r="I19" s="398"/>
      <c r="J19" s="399"/>
      <c r="K19" s="400"/>
      <c r="L19" s="396"/>
      <c r="M19" s="395"/>
    </row>
    <row r="20" spans="1:13" s="264" customFormat="1" ht="13.5">
      <c r="A20" s="1138" t="s">
        <v>333</v>
      </c>
      <c r="B20" s="1138"/>
      <c r="C20" s="1138"/>
      <c r="D20" s="1138"/>
      <c r="E20" s="1138"/>
      <c r="F20" s="398"/>
      <c r="G20" s="398"/>
      <c r="H20" s="398">
        <v>0.624</v>
      </c>
      <c r="I20" s="398"/>
      <c r="J20" s="399"/>
      <c r="K20" s="400"/>
      <c r="L20" s="396"/>
      <c r="M20" s="395"/>
    </row>
    <row r="21" spans="1:13" s="264" customFormat="1" ht="13.5">
      <c r="A21" s="1138" t="s">
        <v>334</v>
      </c>
      <c r="B21" s="1138"/>
      <c r="C21" s="1138"/>
      <c r="D21" s="1138"/>
      <c r="E21" s="1138"/>
      <c r="F21" s="398"/>
      <c r="G21" s="398"/>
      <c r="H21" s="398"/>
      <c r="I21" s="398">
        <v>0.393</v>
      </c>
      <c r="J21" s="399"/>
      <c r="K21" s="400"/>
      <c r="L21" s="396"/>
      <c r="M21" s="395"/>
    </row>
    <row r="22" spans="6:13" ht="12.75">
      <c r="F22" s="401"/>
      <c r="G22" s="401"/>
      <c r="H22" s="401"/>
      <c r="I22" s="401"/>
      <c r="J22" s="401"/>
      <c r="K22" s="401"/>
      <c r="L22" s="401"/>
      <c r="M22" s="401"/>
    </row>
    <row r="23" spans="6:13" ht="12.75">
      <c r="F23" s="401"/>
      <c r="G23" s="401"/>
      <c r="H23" s="401"/>
      <c r="I23" s="401"/>
      <c r="J23" s="401"/>
      <c r="K23" s="401"/>
      <c r="L23" s="401"/>
      <c r="M23" s="401"/>
    </row>
    <row r="24" spans="6:13" ht="12.75">
      <c r="F24" s="401"/>
      <c r="G24" s="401"/>
      <c r="H24" s="401"/>
      <c r="I24" s="401"/>
      <c r="J24" s="401"/>
      <c r="K24" s="401"/>
      <c r="L24" s="401"/>
      <c r="M24" s="401"/>
    </row>
    <row r="25" spans="6:13" ht="12.75">
      <c r="F25" s="401"/>
      <c r="G25" s="401"/>
      <c r="H25" s="401"/>
      <c r="I25" s="401"/>
      <c r="J25" s="401"/>
      <c r="K25" s="401"/>
      <c r="L25" s="401"/>
      <c r="M25" s="401"/>
    </row>
    <row r="26" spans="6:13" ht="12.75">
      <c r="F26" s="401"/>
      <c r="G26" s="401"/>
      <c r="H26" s="401"/>
      <c r="I26" s="401"/>
      <c r="J26" s="401"/>
      <c r="K26" s="401"/>
      <c r="L26" s="401"/>
      <c r="M26" s="401"/>
    </row>
    <row r="27" spans="6:13" ht="12.75">
      <c r="F27" s="401"/>
      <c r="G27" s="401"/>
      <c r="H27" s="401"/>
      <c r="I27" s="401"/>
      <c r="J27" s="401"/>
      <c r="K27" s="401"/>
      <c r="L27" s="401"/>
      <c r="M27" s="401"/>
    </row>
    <row r="28" spans="6:13" ht="12.75">
      <c r="F28" s="401"/>
      <c r="G28" s="401"/>
      <c r="H28" s="402"/>
      <c r="I28" s="401"/>
      <c r="J28" s="401"/>
      <c r="K28" s="401"/>
      <c r="L28" s="401"/>
      <c r="M28" s="401"/>
    </row>
    <row r="29" spans="6:13" ht="12.75">
      <c r="F29" s="401"/>
      <c r="G29" s="401"/>
      <c r="H29" s="401"/>
      <c r="I29" s="401"/>
      <c r="J29" s="401"/>
      <c r="K29" s="401"/>
      <c r="L29" s="401"/>
      <c r="M29" s="401"/>
    </row>
    <row r="30" spans="6:13" ht="12.75">
      <c r="F30" s="401"/>
      <c r="G30" s="401"/>
      <c r="H30" s="401"/>
      <c r="I30" s="401"/>
      <c r="J30" s="401"/>
      <c r="K30" s="401"/>
      <c r="L30" s="401"/>
      <c r="M30" s="401"/>
    </row>
    <row r="31" spans="6:13" ht="12.75">
      <c r="F31" s="401"/>
      <c r="G31" s="401"/>
      <c r="H31" s="401"/>
      <c r="I31" s="401"/>
      <c r="J31" s="401"/>
      <c r="K31" s="401"/>
      <c r="L31" s="401"/>
      <c r="M31" s="401"/>
    </row>
    <row r="32" spans="6:13" ht="12.75">
      <c r="F32" s="401"/>
      <c r="G32" s="401"/>
      <c r="H32" s="401"/>
      <c r="I32" s="401"/>
      <c r="J32" s="401"/>
      <c r="K32" s="401"/>
      <c r="L32" s="401"/>
      <c r="M32" s="401"/>
    </row>
  </sheetData>
  <sheetProtection selectLockedCells="1" selectUnlockedCells="1"/>
  <mergeCells count="12">
    <mergeCell ref="A1:M1"/>
    <mergeCell ref="A17:E17"/>
    <mergeCell ref="A16:I16"/>
    <mergeCell ref="M2:M3"/>
    <mergeCell ref="F15:I15"/>
    <mergeCell ref="A2:I2"/>
    <mergeCell ref="A18:E18"/>
    <mergeCell ref="A19:E19"/>
    <mergeCell ref="A21:E21"/>
    <mergeCell ref="A20:E20"/>
    <mergeCell ref="J2:K2"/>
    <mergeCell ref="L2:L3"/>
  </mergeCells>
  <printOptions/>
  <pageMargins left="0.39" right="0.38" top="0.62" bottom="0.984251969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8"/>
  <sheetViews>
    <sheetView view="pageBreakPreview" zoomScale="115" zoomScaleSheetLayoutView="115" zoomScalePageLayoutView="0" workbookViewId="0" topLeftCell="A1">
      <selection activeCell="A3" sqref="A3:J3"/>
    </sheetView>
  </sheetViews>
  <sheetFormatPr defaultColWidth="9.140625" defaultRowHeight="12.75"/>
  <cols>
    <col min="1" max="1" width="9.140625" style="657" customWidth="1"/>
    <col min="2" max="2" width="10.8515625" style="204" customWidth="1"/>
    <col min="10" max="10" width="60.28125" style="0" customWidth="1"/>
  </cols>
  <sheetData>
    <row r="1" spans="1:10" ht="12.75" customHeight="1">
      <c r="A1" s="821" t="s">
        <v>845</v>
      </c>
      <c r="B1" s="822"/>
      <c r="C1" s="822"/>
      <c r="D1" s="822"/>
      <c r="E1" s="822"/>
      <c r="F1" s="822"/>
      <c r="G1" s="822"/>
      <c r="H1" s="822"/>
      <c r="I1" s="822"/>
      <c r="J1" s="823"/>
    </row>
    <row r="2" spans="1:10" ht="22.5" customHeight="1">
      <c r="A2" s="824"/>
      <c r="B2" s="825"/>
      <c r="C2" s="825"/>
      <c r="D2" s="825"/>
      <c r="E2" s="825"/>
      <c r="F2" s="825"/>
      <c r="G2" s="825"/>
      <c r="H2" s="825"/>
      <c r="I2" s="825"/>
      <c r="J2" s="826"/>
    </row>
    <row r="3" spans="1:10" ht="18">
      <c r="A3" s="818" t="s">
        <v>773</v>
      </c>
      <c r="B3" s="819"/>
      <c r="C3" s="819"/>
      <c r="D3" s="819"/>
      <c r="E3" s="819"/>
      <c r="F3" s="819"/>
      <c r="G3" s="819"/>
      <c r="H3" s="819"/>
      <c r="I3" s="819"/>
      <c r="J3" s="820"/>
    </row>
    <row r="4" spans="1:10" ht="12.75">
      <c r="A4" s="612" t="s">
        <v>583</v>
      </c>
      <c r="B4" s="827" t="s">
        <v>677</v>
      </c>
      <c r="C4" s="828"/>
      <c r="D4" s="828"/>
      <c r="E4" s="828"/>
      <c r="F4" s="828"/>
      <c r="G4" s="828"/>
      <c r="H4" s="828"/>
      <c r="I4" s="829"/>
      <c r="J4" s="840" t="s">
        <v>950</v>
      </c>
    </row>
    <row r="5" spans="1:10" ht="12.75">
      <c r="A5" s="612" t="s">
        <v>584</v>
      </c>
      <c r="B5" s="842" t="s">
        <v>1021</v>
      </c>
      <c r="C5" s="842"/>
      <c r="D5" s="842"/>
      <c r="E5" s="842"/>
      <c r="F5" s="842"/>
      <c r="G5" s="842"/>
      <c r="H5" s="842"/>
      <c r="I5" s="842"/>
      <c r="J5" s="841"/>
    </row>
    <row r="6" spans="1:10" ht="15.75">
      <c r="A6" s="833" t="s">
        <v>237</v>
      </c>
      <c r="B6" s="834"/>
      <c r="C6" s="834"/>
      <c r="D6" s="834"/>
      <c r="E6" s="834"/>
      <c r="F6" s="834"/>
      <c r="G6" s="834"/>
      <c r="H6" s="834"/>
      <c r="I6" s="834"/>
      <c r="J6" s="835"/>
    </row>
    <row r="7" spans="1:10" ht="12.75">
      <c r="A7" s="597" t="s">
        <v>72</v>
      </c>
      <c r="B7" s="597" t="s">
        <v>774</v>
      </c>
      <c r="C7" s="836" t="s">
        <v>73</v>
      </c>
      <c r="D7" s="836"/>
      <c r="E7" s="836"/>
      <c r="F7" s="836"/>
      <c r="G7" s="836"/>
      <c r="H7" s="598" t="s">
        <v>775</v>
      </c>
      <c r="I7" s="598" t="s">
        <v>77</v>
      </c>
      <c r="J7" s="597" t="s">
        <v>776</v>
      </c>
    </row>
    <row r="8" spans="1:10" ht="12.75">
      <c r="A8" s="598"/>
      <c r="B8" s="598"/>
      <c r="C8" s="837"/>
      <c r="D8" s="838"/>
      <c r="E8" s="838"/>
      <c r="F8" s="838"/>
      <c r="G8" s="839"/>
      <c r="H8" s="598"/>
      <c r="I8" s="598"/>
      <c r="J8" s="598"/>
    </row>
    <row r="9" spans="1:10" ht="12.75">
      <c r="A9" s="598" t="s">
        <v>585</v>
      </c>
      <c r="B9" s="620"/>
      <c r="C9" s="830" t="s">
        <v>74</v>
      </c>
      <c r="D9" s="831"/>
      <c r="E9" s="831"/>
      <c r="F9" s="831"/>
      <c r="G9" s="832"/>
      <c r="H9" s="599"/>
      <c r="I9" s="600"/>
      <c r="J9" s="600"/>
    </row>
    <row r="10" spans="1:10" ht="49.5" customHeight="1">
      <c r="A10" s="599" t="s">
        <v>75</v>
      </c>
      <c r="B10" s="601">
        <v>20305</v>
      </c>
      <c r="C10" s="788" t="str">
        <f>'PLANILHA ORÇAMENTÁRIA'!D14</f>
        <v>Placa de obra nas dimensões de 2.0 x 4.0 m, padrão DER</v>
      </c>
      <c r="D10" s="789"/>
      <c r="E10" s="789"/>
      <c r="F10" s="789"/>
      <c r="G10" s="790"/>
      <c r="H10" s="599" t="s">
        <v>128</v>
      </c>
      <c r="I10" s="627">
        <v>8</v>
      </c>
      <c r="J10" s="638" t="s">
        <v>928</v>
      </c>
    </row>
    <row r="11" spans="1:10" ht="62.25" customHeight="1">
      <c r="A11" s="599" t="s">
        <v>586</v>
      </c>
      <c r="B11" s="601">
        <v>20702</v>
      </c>
      <c r="C11" s="788" t="str">
        <f>'PLANILHA ORÇAMENTÁRIA'!D15</f>
        <v>Barracão para almoxarifado área de 10.90m2, de chapa de compensado de 12mm e pontalete 8x8cm, piso cimentado e cobertura de telhas de fibrocimento de 6mm, incl. ponto de luz, conf. projeto (1 utilização)</v>
      </c>
      <c r="D11" s="789"/>
      <c r="E11" s="789"/>
      <c r="F11" s="789"/>
      <c r="G11" s="790"/>
      <c r="H11" s="599" t="s">
        <v>128</v>
      </c>
      <c r="I11" s="627">
        <v>6</v>
      </c>
      <c r="J11" s="638" t="s">
        <v>777</v>
      </c>
    </row>
    <row r="12" spans="1:10" ht="108" customHeight="1">
      <c r="A12" s="599" t="s">
        <v>587</v>
      </c>
      <c r="B12" s="601">
        <v>10501</v>
      </c>
      <c r="C12" s="788" t="str">
        <f>'PLANILHA ORÇAMENTÁRIA'!D16</f>
        <v>Locação de obra com gabarito de madeira</v>
      </c>
      <c r="D12" s="789"/>
      <c r="E12" s="789"/>
      <c r="F12" s="789"/>
      <c r="G12" s="790"/>
      <c r="H12" s="599" t="s">
        <v>127</v>
      </c>
      <c r="I12" s="627">
        <v>85.4</v>
      </c>
      <c r="J12" s="648" t="s">
        <v>778</v>
      </c>
    </row>
    <row r="13" spans="1:10" ht="108" customHeight="1">
      <c r="A13" s="599" t="s">
        <v>680</v>
      </c>
      <c r="B13" s="601">
        <v>20351</v>
      </c>
      <c r="C13" s="788" t="str">
        <f>'PLANILHA ORÇAMENTÁRIA'!D17</f>
        <v>Tapume Telha Metálica Ondulada em aço galvalume 0,50mm Branca h=2,20m, incl. montagem estr. mad.
8"x8", c/adesivo "DER-ES" 60x60cm a cada 10m, incl. faixas pint. esmalte sint. cores azul c/ h=30cm e rosa
c/ h=10cm (Reaproveitamento 2x)</v>
      </c>
      <c r="D13" s="789"/>
      <c r="E13" s="789"/>
      <c r="F13" s="789"/>
      <c r="G13" s="790"/>
      <c r="H13" s="599" t="s">
        <v>128</v>
      </c>
      <c r="I13" s="627">
        <v>101.4</v>
      </c>
      <c r="J13" s="648" t="s">
        <v>929</v>
      </c>
    </row>
    <row r="14" spans="1:10" ht="12.75" customHeight="1">
      <c r="A14" s="599" t="s">
        <v>733</v>
      </c>
      <c r="B14" s="601">
        <v>151701</v>
      </c>
      <c r="C14" s="788" t="str">
        <f>'PLANILHA ORÇAMENTÁRIA'!D18</f>
        <v>Padrão de entrada de energia elétrica, monofásico, entrada aérea, a 2 fios, carga instalada em muro de 3500 até 9000W - 220/127V</v>
      </c>
      <c r="D14" s="789"/>
      <c r="E14" s="789"/>
      <c r="F14" s="789"/>
      <c r="G14" s="790"/>
      <c r="H14" s="601" t="s">
        <v>138</v>
      </c>
      <c r="I14" s="602">
        <v>1</v>
      </c>
      <c r="J14" s="629" t="s">
        <v>779</v>
      </c>
    </row>
    <row r="15" spans="1:10" ht="12.75" customHeight="1">
      <c r="A15" s="599" t="s">
        <v>768</v>
      </c>
      <c r="B15" s="601">
        <v>20712</v>
      </c>
      <c r="C15" s="788" t="str">
        <f>'PLANILHA ORÇAMENTÁRIA'!D19</f>
        <v>Rede de água com padrão de entrada d'água diâm. 3/4", conf. espec. CESAN, incl. tubos e conexões para alimentação, distribuição, extravasor e limpeza, cons. o padrão a 25m, conf. projeto (1 utilização)</v>
      </c>
      <c r="D15" s="789"/>
      <c r="E15" s="789"/>
      <c r="F15" s="789"/>
      <c r="G15" s="790"/>
      <c r="H15" s="601" t="s">
        <v>127</v>
      </c>
      <c r="I15" s="602">
        <v>25</v>
      </c>
      <c r="J15" s="629" t="s">
        <v>780</v>
      </c>
    </row>
    <row r="16" spans="1:10" ht="12.75">
      <c r="A16" s="599"/>
      <c r="B16" s="626"/>
      <c r="C16" s="844"/>
      <c r="D16" s="845"/>
      <c r="E16" s="845"/>
      <c r="F16" s="845"/>
      <c r="G16" s="846"/>
      <c r="H16" s="601"/>
      <c r="I16" s="602"/>
      <c r="J16" s="629"/>
    </row>
    <row r="17" spans="1:10" ht="12.75">
      <c r="A17" s="597" t="str">
        <f>'PLANILHA ORÇAMENTÁRIA'!A21</f>
        <v>2.0</v>
      </c>
      <c r="B17" s="603"/>
      <c r="C17" s="830" t="s">
        <v>700</v>
      </c>
      <c r="D17" s="831"/>
      <c r="E17" s="831"/>
      <c r="F17" s="831"/>
      <c r="G17" s="832"/>
      <c r="H17" s="616"/>
      <c r="I17" s="615"/>
      <c r="J17" s="628"/>
    </row>
    <row r="18" spans="1:10" ht="57.75" customHeight="1">
      <c r="A18" s="601" t="str">
        <f>'PLANILHA ORÇAMENTÁRIA'!A22</f>
        <v>2.1</v>
      </c>
      <c r="B18" s="604" t="s">
        <v>1048</v>
      </c>
      <c r="C18" s="796" t="str">
        <f>'PLANILHA ORÇAMENTÁRIA'!D22</f>
        <v>ESTACA HÉLICE CONTÍNUA, DIÂMETRO DE 30 CM, INCLUSO CONCRETO FCK=30MPA  E ARMADURA MÍNIMA (EXCLUSIVE MOBILIZAÇÃO, DESMOBILIZAÇÃO E BOMBEAMENTO ). AF_12/2019</v>
      </c>
      <c r="D18" s="797"/>
      <c r="E18" s="797"/>
      <c r="F18" s="797"/>
      <c r="G18" s="798"/>
      <c r="H18" s="616" t="s">
        <v>127</v>
      </c>
      <c r="I18" s="615">
        <v>300</v>
      </c>
      <c r="J18" s="628" t="s">
        <v>1050</v>
      </c>
    </row>
    <row r="19" spans="1:10" ht="43.5" customHeight="1">
      <c r="A19" s="601" t="str">
        <f>'PLANILHA ORÇAMENTÁRIA'!A23</f>
        <v>2.2</v>
      </c>
      <c r="B19" s="604" t="s">
        <v>606</v>
      </c>
      <c r="C19" s="787" t="str">
        <f>'PLANILHA ORÇAMENTÁRIA'!D23</f>
        <v>Fôrma de tábua de madeira de 2.5x30.0cm, levando-se em conta utilização 3 vezes (incluindo o material, corte, montagem, escoramento e desforma)</v>
      </c>
      <c r="D19" s="787"/>
      <c r="E19" s="787"/>
      <c r="F19" s="787"/>
      <c r="G19" s="787"/>
      <c r="H19" s="601" t="s">
        <v>128</v>
      </c>
      <c r="I19" s="602">
        <v>343.63</v>
      </c>
      <c r="J19" s="639" t="s">
        <v>1051</v>
      </c>
    </row>
    <row r="20" spans="1:10" ht="41.25" customHeight="1">
      <c r="A20" s="601" t="str">
        <f>'PLANILHA ORÇAMENTÁRIA'!A24</f>
        <v>2.3</v>
      </c>
      <c r="B20" s="601">
        <v>40333</v>
      </c>
      <c r="C20" s="787" t="str">
        <f>'PLANILHA ORÇAMENTÁRIA'!D24</f>
        <v>Fornecimento, dobragem e colocação em fôrma, de armadura CA-60 B fina, diâmetro de 4.0 a 7.0mm</v>
      </c>
      <c r="D20" s="787"/>
      <c r="E20" s="787"/>
      <c r="F20" s="787"/>
      <c r="G20" s="787"/>
      <c r="H20" s="601" t="s">
        <v>100</v>
      </c>
      <c r="I20" s="602">
        <v>272.7</v>
      </c>
      <c r="J20" s="639" t="s">
        <v>1052</v>
      </c>
    </row>
    <row r="21" spans="1:10" ht="57" customHeight="1">
      <c r="A21" s="601" t="str">
        <f>'PLANILHA ORÇAMENTÁRIA'!A25</f>
        <v>2.4</v>
      </c>
      <c r="B21" s="601">
        <v>40243</v>
      </c>
      <c r="C21" s="787" t="str">
        <f>'PLANILHA ORÇAMENTÁRIA'!D25</f>
        <v>Fornecimento, dobragem e colocação em fôrma, de armadura CA-50 A média, diâmetro de 6.3 a 10.0 mm</v>
      </c>
      <c r="D21" s="787"/>
      <c r="E21" s="787"/>
      <c r="F21" s="787"/>
      <c r="G21" s="787"/>
      <c r="H21" s="601" t="s">
        <v>100</v>
      </c>
      <c r="I21" s="602">
        <v>869.6</v>
      </c>
      <c r="J21" s="639" t="s">
        <v>1054</v>
      </c>
    </row>
    <row r="22" spans="1:10" ht="44.25" customHeight="1">
      <c r="A22" s="601" t="str">
        <f>'PLANILHA ORÇAMENTÁRIA'!A26</f>
        <v>2.5</v>
      </c>
      <c r="B22" s="604" t="s">
        <v>492</v>
      </c>
      <c r="C22" s="787" t="str">
        <f>'PLANILHA ORÇAMENTÁRIA'!D26</f>
        <v>Fornecimento, dobragem e colocação em fôrma, de armadura CA-50 A grossa diâmetro de 12.5 a 25.0 mm (1/2 a 1")</v>
      </c>
      <c r="D22" s="787"/>
      <c r="E22" s="787"/>
      <c r="F22" s="787"/>
      <c r="G22" s="787"/>
      <c r="H22" s="601" t="s">
        <v>100</v>
      </c>
      <c r="I22" s="602">
        <v>70.4</v>
      </c>
      <c r="J22" s="639" t="s">
        <v>1053</v>
      </c>
    </row>
    <row r="23" spans="1:10" ht="34.5" customHeight="1">
      <c r="A23" s="601" t="str">
        <f>'PLANILHA ORÇAMENTÁRIA'!A27</f>
        <v>2.6</v>
      </c>
      <c r="B23" s="604" t="s">
        <v>492</v>
      </c>
      <c r="C23" s="787" t="str">
        <f>'PLANILHA ORÇAMENTÁRIA'!D27</f>
        <v>Fornecimento e aplicação de concreto USINADO Fck=25 MPa - considerando lançamento MANUAL para INFRA-ESTRUTURA (5% de perdas já incluído no custo)</v>
      </c>
      <c r="D23" s="787"/>
      <c r="E23" s="787"/>
      <c r="F23" s="787"/>
      <c r="G23" s="787"/>
      <c r="H23" s="601" t="s">
        <v>142</v>
      </c>
      <c r="I23" s="602">
        <v>23.28</v>
      </c>
      <c r="J23" s="639" t="s">
        <v>1055</v>
      </c>
    </row>
    <row r="24" spans="1:10" ht="12.75">
      <c r="A24" s="601"/>
      <c r="B24" s="604"/>
      <c r="C24" s="813"/>
      <c r="D24" s="814"/>
      <c r="E24" s="814"/>
      <c r="F24" s="814"/>
      <c r="G24" s="815"/>
      <c r="H24" s="619"/>
      <c r="I24" s="602"/>
      <c r="J24" s="610"/>
    </row>
    <row r="25" spans="1:10" ht="12.75">
      <c r="A25" s="601" t="str">
        <f>'PLANILHA ORÇAMENTÁRIA'!A29</f>
        <v>3.0</v>
      </c>
      <c r="B25" s="603"/>
      <c r="C25" s="830" t="s">
        <v>701</v>
      </c>
      <c r="D25" s="831"/>
      <c r="E25" s="831"/>
      <c r="F25" s="831"/>
      <c r="G25" s="832"/>
      <c r="H25" s="619"/>
      <c r="I25" s="602"/>
      <c r="J25" s="610"/>
    </row>
    <row r="26" spans="1:10" ht="67.5" customHeight="1">
      <c r="A26" s="601" t="str">
        <f>'PLANILHA ORÇAMENTÁRIA'!A30</f>
        <v>3.1</v>
      </c>
      <c r="B26" s="604" t="s">
        <v>606</v>
      </c>
      <c r="C26" s="787" t="str">
        <f>'PLANILHA ORÇAMENTÁRIA'!D30</f>
        <v>Fôrma de tábua de madeira de 2.5x30.0cm, levando-se em conta utilização 3 vezes (incluindo o material, corte, montagem, escoramento e desforma</v>
      </c>
      <c r="D26" s="787"/>
      <c r="E26" s="787"/>
      <c r="F26" s="787"/>
      <c r="G26" s="787"/>
      <c r="H26" s="601" t="s">
        <v>128</v>
      </c>
      <c r="I26" s="602">
        <v>437.64</v>
      </c>
      <c r="J26" s="639" t="s">
        <v>781</v>
      </c>
    </row>
    <row r="27" spans="1:10" ht="52.5" customHeight="1">
      <c r="A27" s="601" t="str">
        <f>'PLANILHA ORÇAMENTÁRIA'!A31</f>
        <v>3.2</v>
      </c>
      <c r="B27" s="601">
        <v>40333</v>
      </c>
      <c r="C27" s="787" t="str">
        <f>'PLANILHA ORÇAMENTÁRIA'!D31</f>
        <v>Fornecimento, dobragem e colocação em fôrma, de armadura CA-60 B fina, diâmetro de 4.0 a 7.0mm</v>
      </c>
      <c r="D27" s="787"/>
      <c r="E27" s="787"/>
      <c r="F27" s="787"/>
      <c r="G27" s="787"/>
      <c r="H27" s="601" t="s">
        <v>100</v>
      </c>
      <c r="I27" s="602">
        <v>268.02</v>
      </c>
      <c r="J27" s="639" t="s">
        <v>930</v>
      </c>
    </row>
    <row r="28" spans="1:10" ht="48" customHeight="1">
      <c r="A28" s="601" t="str">
        <f>'PLANILHA ORÇAMENTÁRIA'!A32</f>
        <v>3.3</v>
      </c>
      <c r="B28" s="601">
        <v>40243</v>
      </c>
      <c r="C28" s="787" t="str">
        <f>'PLANILHA ORÇAMENTÁRIA'!D32</f>
        <v>Fornecimento, dobragem e colocação em fôrma, de armadura CA-50 A média, diâmetro de 6.3 a 10.0 mm</v>
      </c>
      <c r="D28" s="787"/>
      <c r="E28" s="787"/>
      <c r="F28" s="787"/>
      <c r="G28" s="787"/>
      <c r="H28" s="601" t="s">
        <v>100</v>
      </c>
      <c r="I28" s="602">
        <v>167.67</v>
      </c>
      <c r="J28" s="639" t="s">
        <v>931</v>
      </c>
    </row>
    <row r="29" spans="1:10" ht="59.25" customHeight="1">
      <c r="A29" s="601" t="str">
        <f>'PLANILHA ORÇAMENTÁRIA'!A33</f>
        <v>3.4</v>
      </c>
      <c r="B29" s="601">
        <v>40245</v>
      </c>
      <c r="C29" s="787" t="str">
        <f>'PLANILHA ORÇAMENTÁRIA'!D33</f>
        <v>Fornecimento, dobragem e colocação em fôrma, de armadura CA-50 A grossa diâmetro de 12.5 a 25.0 mm (1/2 a 1")</v>
      </c>
      <c r="D29" s="787"/>
      <c r="E29" s="787"/>
      <c r="F29" s="787"/>
      <c r="G29" s="787"/>
      <c r="H29" s="601" t="s">
        <v>100</v>
      </c>
      <c r="I29" s="602">
        <v>316.53</v>
      </c>
      <c r="J29" s="639" t="s">
        <v>932</v>
      </c>
    </row>
    <row r="30" spans="1:10" ht="68.25" customHeight="1">
      <c r="A30" s="601" t="str">
        <f>'PLANILHA ORÇAMENTÁRIA'!A34</f>
        <v>3.5</v>
      </c>
      <c r="B30" s="604" t="s">
        <v>683</v>
      </c>
      <c r="C30" s="787" t="str">
        <f>'PLANILHA ORÇAMENTÁRIA'!D34</f>
        <v>ARMAÇÃO DE LAJE DE UMA ESTRUTURA CONVENCIONAL DE CONCRETO ARMADO EM   EDIFICAÇÃO TÉRREA OU SOBRADO UTILIZANDO AÇO CA-60 DE 5,0 MM - MONTAG EM. AF_12/2015</v>
      </c>
      <c r="D30" s="787"/>
      <c r="E30" s="787"/>
      <c r="F30" s="787"/>
      <c r="G30" s="787"/>
      <c r="H30" s="601" t="s">
        <v>100</v>
      </c>
      <c r="I30" s="602">
        <v>138.51</v>
      </c>
      <c r="J30" s="639" t="s">
        <v>782</v>
      </c>
    </row>
    <row r="31" spans="1:10" ht="64.5" customHeight="1">
      <c r="A31" s="601" t="str">
        <f>'PLANILHA ORÇAMENTÁRIA'!A35</f>
        <v>3.6</v>
      </c>
      <c r="B31" s="604" t="s">
        <v>684</v>
      </c>
      <c r="C31" s="787" t="str">
        <f>'PLANILHA ORÇAMENTÁRIA'!D35</f>
        <v>ARMAÇÃO DE LAJE DE UMA ESTRUTURA CONVENCIONAL DE CONCRETO ARMADO EM UMA EDIFICAÇÃO TÉRREA OU SOBRADO UTILIZANDO AÇO CA-50 DE 6,3 MM - MONTAG EM. AF_12/2015</v>
      </c>
      <c r="D31" s="787"/>
      <c r="E31" s="787"/>
      <c r="F31" s="787"/>
      <c r="G31" s="787"/>
      <c r="H31" s="601" t="s">
        <v>100</v>
      </c>
      <c r="I31" s="602">
        <v>211.41</v>
      </c>
      <c r="J31" s="639" t="s">
        <v>783</v>
      </c>
    </row>
    <row r="32" spans="1:10" ht="64.5" customHeight="1">
      <c r="A32" s="601" t="str">
        <f>'PLANILHA ORÇAMENTÁRIA'!A36</f>
        <v>3.7</v>
      </c>
      <c r="B32" s="604" t="s">
        <v>703</v>
      </c>
      <c r="C32" s="787" t="str">
        <f>'PLANILHA ORÇAMENTÁRIA'!D36</f>
        <v>ARMAÇÃO DE LAJE DE UMA ESTRUTURA CONVENCIONAL DE CONCRETO ARMADO EM UMA EDIFICAÇÃO TÉRREA OU SOBRADO UTILIZANDO AÇO CA-50 DE 8,0 MM - MONTAG EM. AF_12/2015</v>
      </c>
      <c r="D32" s="787"/>
      <c r="E32" s="787"/>
      <c r="F32" s="787"/>
      <c r="G32" s="787"/>
      <c r="H32" s="601" t="s">
        <v>100</v>
      </c>
      <c r="I32" s="602">
        <v>92.34</v>
      </c>
      <c r="J32" s="639" t="s">
        <v>784</v>
      </c>
    </row>
    <row r="33" spans="1:10" ht="56.25" customHeight="1">
      <c r="A33" s="601" t="str">
        <f>'PLANILHA ORÇAMENTÁRIA'!A37</f>
        <v>3.8</v>
      </c>
      <c r="B33" s="604" t="s">
        <v>704</v>
      </c>
      <c r="C33" s="787" t="str">
        <f>'PLANILHA ORÇAMENTÁRIA'!D37</f>
        <v>ARMAÇÃO DE LAJE DE UMA ESTRUTURA CONVENCIONAL DE CONCRETO ARMADO EM UMA EDIFICAÇÃO TÉRREA OU SOBRADO UTILIZANDO AÇO CA-50 DE 10,0 MM - MONTA GEM. AF_12/2015</v>
      </c>
      <c r="D33" s="787"/>
      <c r="E33" s="787"/>
      <c r="F33" s="787"/>
      <c r="G33" s="787"/>
      <c r="H33" s="601" t="s">
        <v>100</v>
      </c>
      <c r="I33" s="602">
        <v>276.39</v>
      </c>
      <c r="J33" s="639" t="s">
        <v>785</v>
      </c>
    </row>
    <row r="34" spans="1:10" ht="24" customHeight="1">
      <c r="A34" s="601" t="str">
        <f>'PLANILHA ORÇAMENTÁRIA'!A38</f>
        <v>3.9</v>
      </c>
      <c r="B34" s="604" t="s">
        <v>492</v>
      </c>
      <c r="C34" s="787" t="str">
        <f>'PLANILHA ORÇAMENTÁRIA'!D38</f>
        <v>Fornecimento e aplicação de concreto USINADO Fck=25 MPa - considerando lançamento MANUAL para INFRA-ESTRUTURA (5% de perdas já incluído no custo)</v>
      </c>
      <c r="D34" s="787"/>
      <c r="E34" s="787"/>
      <c r="F34" s="787"/>
      <c r="G34" s="787"/>
      <c r="H34" s="601" t="s">
        <v>142</v>
      </c>
      <c r="I34" s="602">
        <v>32.88</v>
      </c>
      <c r="J34" s="639" t="s">
        <v>786</v>
      </c>
    </row>
    <row r="35" spans="1:10" ht="12.75">
      <c r="A35" s="601"/>
      <c r="B35" s="604"/>
      <c r="C35" s="813"/>
      <c r="D35" s="814"/>
      <c r="E35" s="814"/>
      <c r="F35" s="814"/>
      <c r="G35" s="815"/>
      <c r="H35" s="619"/>
      <c r="I35" s="602"/>
      <c r="J35" s="610"/>
    </row>
    <row r="36" spans="1:10" ht="12.75">
      <c r="A36" s="601" t="str">
        <f>'PLANILHA ORÇAMENTÁRIA'!A40</f>
        <v>4.0</v>
      </c>
      <c r="B36" s="604"/>
      <c r="C36" s="799" t="s">
        <v>787</v>
      </c>
      <c r="D36" s="800"/>
      <c r="E36" s="800"/>
      <c r="F36" s="800"/>
      <c r="G36" s="801"/>
      <c r="H36" s="601"/>
      <c r="I36" s="602"/>
      <c r="J36" s="613"/>
    </row>
    <row r="37" spans="1:10" ht="12.75">
      <c r="A37" s="601" t="str">
        <f>'PLANILHA ORÇAMENTÁRIA'!A41</f>
        <v>4.1</v>
      </c>
      <c r="B37" s="601">
        <v>60101</v>
      </c>
      <c r="C37" s="787" t="str">
        <f>'PLANILHA ORÇAMENTÁRIA'!D41</f>
        <v>Marco de madeira de lei de 1ª (Peroba, Ipê, Angelim Pedra ou equivalente) com 15x3 cm de batente, nas dimensões de 0.60 x 2.10 m</v>
      </c>
      <c r="D37" s="787"/>
      <c r="E37" s="787"/>
      <c r="F37" s="787"/>
      <c r="G37" s="787"/>
      <c r="H37" s="601" t="s">
        <v>138</v>
      </c>
      <c r="I37" s="602">
        <v>2</v>
      </c>
      <c r="J37" s="613" t="s">
        <v>788</v>
      </c>
    </row>
    <row r="38" spans="1:10" ht="12.75" customHeight="1">
      <c r="A38" s="601" t="str">
        <f>'PLANILHA ORÇAMENTÁRIA'!A42</f>
        <v>4.2</v>
      </c>
      <c r="B38" s="601">
        <v>61301</v>
      </c>
      <c r="C38" s="787" t="str">
        <f>'PLANILHA ORÇAMENTÁRIA'!D42</f>
        <v>Porta em madeira de lei tipo angelim pedra ou equiv.c/enchimento em madeira 1a.qualidade esp. 30mm p/ pintura, inclusive alizares, dobradiças e fechadura externa em latão cromado LaFonte ou equiv., exclusive marco, nas dim.:0.60 x 2.10 m</v>
      </c>
      <c r="D38" s="787"/>
      <c r="E38" s="787"/>
      <c r="F38" s="787"/>
      <c r="G38" s="787"/>
      <c r="H38" s="601" t="s">
        <v>138</v>
      </c>
      <c r="I38" s="602">
        <v>4</v>
      </c>
      <c r="J38" s="613" t="s">
        <v>789</v>
      </c>
    </row>
    <row r="39" spans="1:10" ht="12.75" customHeight="1">
      <c r="A39" s="601" t="str">
        <f>'PLANILHA ORÇAMENTÁRIA'!A43</f>
        <v>4.3</v>
      </c>
      <c r="B39" s="601">
        <v>60103</v>
      </c>
      <c r="C39" s="787" t="str">
        <f>'PLANILHA ORÇAMENTÁRIA'!D43</f>
        <v>Marco de madeira de lei de 1ª (Peroba, Ipê, Angelim Pedra ou equivalente) com 15x3 cm de batente, nas dimensões de 0.80 x 2.10 m</v>
      </c>
      <c r="D39" s="787"/>
      <c r="E39" s="787"/>
      <c r="F39" s="787"/>
      <c r="G39" s="787"/>
      <c r="H39" s="601" t="s">
        <v>138</v>
      </c>
      <c r="I39" s="602">
        <v>12</v>
      </c>
      <c r="J39" s="613" t="s">
        <v>790</v>
      </c>
    </row>
    <row r="40" spans="1:10" ht="12.75" customHeight="1">
      <c r="A40" s="601" t="str">
        <f>'PLANILHA ORÇAMENTÁRIA'!A44</f>
        <v>4.4</v>
      </c>
      <c r="B40" s="601">
        <v>61303</v>
      </c>
      <c r="C40" s="787" t="str">
        <f>'PLANILHA ORÇAMENTÁRIA'!D44</f>
        <v>Porta em madeira de lei tipo angelim pedra ou equiv.c/enchimento em madeira 1a.qualidade esp. 30mm p/ pintura, inclusive alizares, dobradiças e fechadura externa em latão cromado LaFonte ou equiv., exclusive marco, nas dim.: 0.80 x 2.10 m</v>
      </c>
      <c r="D40" s="787"/>
      <c r="E40" s="787"/>
      <c r="F40" s="787"/>
      <c r="G40" s="787"/>
      <c r="H40" s="601" t="s">
        <v>138</v>
      </c>
      <c r="I40" s="602">
        <v>12</v>
      </c>
      <c r="J40" s="613" t="s">
        <v>790</v>
      </c>
    </row>
    <row r="41" spans="1:10" ht="12.75" customHeight="1">
      <c r="A41" s="601" t="str">
        <f>'PLANILHA ORÇAMENTÁRIA'!A45</f>
        <v>4.5</v>
      </c>
      <c r="B41" s="604" t="s">
        <v>503</v>
      </c>
      <c r="C41" s="787" t="str">
        <f>'PLANILHA ORÇAMENTÁRIA'!D45</f>
        <v>Porta em madeira de lei tipo angelim pedra ou equiv.c/enchimento em madeira 1a.qualidade esp. 30mm p/ pintura, incl. fechadura tipo "livre/ocupado" em latão cromado Lafonte ou equiv. e ferragens p/ fixação em granito, excl. marco, nas dimensões: 0.60 x 1.60 m</v>
      </c>
      <c r="D41" s="787"/>
      <c r="E41" s="787"/>
      <c r="F41" s="787"/>
      <c r="G41" s="787"/>
      <c r="H41" s="601" t="s">
        <v>138</v>
      </c>
      <c r="I41" s="602">
        <v>3</v>
      </c>
      <c r="J41" s="613" t="s">
        <v>791</v>
      </c>
    </row>
    <row r="42" spans="1:10" ht="48" customHeight="1">
      <c r="A42" s="601" t="str">
        <f>'PLANILHA ORÇAMENTÁRIA'!A46</f>
        <v>4.6</v>
      </c>
      <c r="B42" s="601">
        <v>71703</v>
      </c>
      <c r="C42" s="787" t="str">
        <f>'PLANILHA ORÇAMENTÁRIA'!D46</f>
        <v>Janela tipo maxim-ar para vidro em alumínio anodizado natural, linha 25, completa, incl. puxador com tranca, caixilho, alizar e contramarco, exclusive vidro</v>
      </c>
      <c r="D42" s="787"/>
      <c r="E42" s="787"/>
      <c r="F42" s="787"/>
      <c r="G42" s="787"/>
      <c r="H42" s="601" t="s">
        <v>128</v>
      </c>
      <c r="I42" s="602">
        <v>5.6</v>
      </c>
      <c r="J42" s="610" t="s">
        <v>793</v>
      </c>
    </row>
    <row r="43" spans="1:10" ht="84" customHeight="1">
      <c r="A43" s="601" t="str">
        <f>'PLANILHA ORÇAMENTÁRIA'!A47</f>
        <v>4.7</v>
      </c>
      <c r="B43" s="601">
        <v>71701</v>
      </c>
      <c r="C43" s="787" t="str">
        <f>'PLANILHA ORÇAMENTÁRIA'!D47</f>
        <v>Janela de correr para vidro em alumínio anodizado cor natural, linha 25, completa, incl. puxador com tranca, alizar, caixilho e contramarco, exclusive vidro</v>
      </c>
      <c r="D43" s="787"/>
      <c r="E43" s="787"/>
      <c r="F43" s="787"/>
      <c r="G43" s="787"/>
      <c r="H43" s="601" t="s">
        <v>128</v>
      </c>
      <c r="I43" s="602">
        <v>20.67</v>
      </c>
      <c r="J43" s="610" t="s">
        <v>933</v>
      </c>
    </row>
    <row r="44" spans="1:10" ht="48" customHeight="1">
      <c r="A44" s="601" t="str">
        <f>'PLANILHA ORÇAMENTÁRIA'!A48</f>
        <v>4.8</v>
      </c>
      <c r="B44" s="601">
        <v>102181</v>
      </c>
      <c r="C44" s="787" t="str">
        <f>'PLANILHA ORÇAMENTÁRIA'!D48</f>
        <v>INSTALAÇÃO DE VIDRO TEMPERADO, E = 10 MM, ENCAIXADO EM PERFIL U. AF_01/2021_P</v>
      </c>
      <c r="D44" s="787"/>
      <c r="E44" s="787"/>
      <c r="F44" s="787"/>
      <c r="G44" s="787"/>
      <c r="H44" s="601" t="s">
        <v>128</v>
      </c>
      <c r="I44" s="602">
        <v>9.45</v>
      </c>
      <c r="J44" s="610" t="s">
        <v>794</v>
      </c>
    </row>
    <row r="45" spans="1:10" ht="48" customHeight="1">
      <c r="A45" s="601" t="str">
        <f>'PLANILHA ORÇAMENTÁRIA'!A49</f>
        <v>4.9</v>
      </c>
      <c r="B45" s="601">
        <v>102189</v>
      </c>
      <c r="C45" s="787" t="str">
        <f>'PLANILHA ORÇAMENTÁRIA'!D49</f>
        <v>JOGO DE FERRAGENS CROMADAS PARA PORTA DE VIDRO TEMPERADO, UMA FOLHA COMPOSTO DE DOBRADICAS SUPERIOR E INFERIOR, TRINCO, FECHADURA, CONTRA FE CHADURA COM CAPUCHINHO SEM MOLA E PUXADOR. AF_01/2021</v>
      </c>
      <c r="D45" s="787"/>
      <c r="E45" s="787"/>
      <c r="F45" s="787"/>
      <c r="G45" s="787"/>
      <c r="H45" s="601" t="s">
        <v>138</v>
      </c>
      <c r="I45" s="602">
        <v>3</v>
      </c>
      <c r="J45" s="610" t="s">
        <v>795</v>
      </c>
    </row>
    <row r="46" spans="1:10" ht="60">
      <c r="A46" s="601" t="str">
        <f>'PLANILHA ORÇAMENTÁRIA'!A50</f>
        <v>4.10</v>
      </c>
      <c r="B46" s="601">
        <v>71106</v>
      </c>
      <c r="C46" s="787" t="str">
        <f>'PLANILHA ORÇAMENTÁRIA'!D50</f>
        <v>Portão de ferro de correr em barra chata, inclusive chumbamento</v>
      </c>
      <c r="D46" s="787"/>
      <c r="E46" s="787"/>
      <c r="F46" s="787"/>
      <c r="G46" s="787"/>
      <c r="H46" s="601" t="s">
        <v>128</v>
      </c>
      <c r="I46" s="602">
        <v>5.31</v>
      </c>
      <c r="J46" s="610" t="s">
        <v>796</v>
      </c>
    </row>
    <row r="47" spans="1:10" ht="12.75">
      <c r="A47" s="601"/>
      <c r="B47" s="655"/>
      <c r="C47" s="805"/>
      <c r="D47" s="806"/>
      <c r="E47" s="806"/>
      <c r="F47" s="806"/>
      <c r="G47" s="807"/>
      <c r="H47" s="601"/>
      <c r="I47" s="602"/>
      <c r="J47" s="613"/>
    </row>
    <row r="48" spans="1:10" ht="12.75">
      <c r="A48" s="601" t="str">
        <f>'PLANILHA ORÇAMENTÁRIA'!A52</f>
        <v>5.0</v>
      </c>
      <c r="B48" s="656"/>
      <c r="C48" s="799" t="s">
        <v>88</v>
      </c>
      <c r="D48" s="800"/>
      <c r="E48" s="800"/>
      <c r="F48" s="800"/>
      <c r="G48" s="801"/>
      <c r="H48" s="601"/>
      <c r="I48" s="602"/>
      <c r="J48" s="613"/>
    </row>
    <row r="49" spans="1:10" ht="67.5" customHeight="1">
      <c r="A49" s="601" t="str">
        <f>'PLANILHA ORÇAMENTÁRIA'!A53</f>
        <v>5.1</v>
      </c>
      <c r="B49" s="604" t="s">
        <v>603</v>
      </c>
      <c r="C49" s="787" t="str">
        <f>'PLANILHA ORÇAMENTÁRIA'!D53</f>
        <v>Estrutura de madeira de lei Paraju, peroba mica, angelim pedra ou equivalente para telhado de telha cerâmica tipo francesa, com pontaletes, terças, caibros e ripas, inclusive tratamento com cupunicida, exclusive telhas</v>
      </c>
      <c r="D49" s="787"/>
      <c r="E49" s="787"/>
      <c r="F49" s="787"/>
      <c r="G49" s="787"/>
      <c r="H49" s="601" t="s">
        <v>128</v>
      </c>
      <c r="I49" s="602">
        <v>158.01</v>
      </c>
      <c r="J49" s="613" t="s">
        <v>797</v>
      </c>
    </row>
    <row r="50" spans="1:10" ht="48" customHeight="1">
      <c r="A50" s="601" t="str">
        <f>'PLANILHA ORÇAMENTÁRIA'!A54</f>
        <v>5.2</v>
      </c>
      <c r="B50" s="601">
        <v>90202</v>
      </c>
      <c r="C50" s="787" t="str">
        <f>'PLANILHA ORÇAMENTÁRIA'!D54</f>
        <v>Telha em aço galvalume trapezoidal 40, e=0.50mm, pintura cor branca nas duas faces, inclusive acessório
de fixação Ref. Santo André, Eternit, Metform ou equivalente</v>
      </c>
      <c r="D50" s="787"/>
      <c r="E50" s="787"/>
      <c r="F50" s="787"/>
      <c r="G50" s="787"/>
      <c r="H50" s="601" t="s">
        <v>128</v>
      </c>
      <c r="I50" s="602">
        <v>158.01</v>
      </c>
      <c r="J50" s="613" t="s">
        <v>797</v>
      </c>
    </row>
    <row r="51" spans="1:10" ht="36" customHeight="1">
      <c r="A51" s="601" t="str">
        <f>'PLANILHA ORÇAMENTÁRIA'!A55</f>
        <v>5.3</v>
      </c>
      <c r="B51" s="601">
        <v>90302</v>
      </c>
      <c r="C51" s="787" t="str">
        <f>'PLANILHA ORÇAMENTÁRIA'!D55</f>
        <v>Rufo de chapa metálica nº 26 com largura de 30 cm</v>
      </c>
      <c r="D51" s="787"/>
      <c r="E51" s="787"/>
      <c r="F51" s="787"/>
      <c r="G51" s="787"/>
      <c r="H51" s="601" t="s">
        <v>128</v>
      </c>
      <c r="I51" s="602">
        <v>53.47</v>
      </c>
      <c r="J51" s="613" t="s">
        <v>798</v>
      </c>
    </row>
    <row r="52" spans="1:10" ht="12.75" customHeight="1">
      <c r="A52" s="601" t="str">
        <f>'PLANILHA ORÇAMENTÁRIA'!A56</f>
        <v>5.4</v>
      </c>
      <c r="B52" s="601">
        <v>89512</v>
      </c>
      <c r="C52" s="787" t="str">
        <f>'PLANILHA ORÇAMENTÁRIA'!D56</f>
        <v>TUBO PVC, SÉRIE R, ÁGUA PLUVIAL, DN 100 MM, FORNECIDO E INSTALADO EM RAMAL DE ENCAMINHAMENTO. AF_12/2014</v>
      </c>
      <c r="D52" s="787"/>
      <c r="E52" s="787"/>
      <c r="F52" s="787"/>
      <c r="G52" s="787"/>
      <c r="H52" s="601" t="s">
        <v>127</v>
      </c>
      <c r="I52" s="602">
        <v>24</v>
      </c>
      <c r="J52" s="613" t="s">
        <v>799</v>
      </c>
    </row>
    <row r="53" spans="1:10" ht="36" customHeight="1">
      <c r="A53" s="601" t="str">
        <f>'PLANILHA ORÇAMENTÁRIA'!A57</f>
        <v>5.5</v>
      </c>
      <c r="B53" s="601">
        <v>90305</v>
      </c>
      <c r="C53" s="787" t="str">
        <f>'PLANILHA ORÇAMENTÁRIA'!D57</f>
        <v>Calha de concreto armado Fck=15 MPa em "U" nas dimensões de 38 x 56 cm conforme detalhes em projeto</v>
      </c>
      <c r="D53" s="787"/>
      <c r="E53" s="787"/>
      <c r="F53" s="787"/>
      <c r="G53" s="787"/>
      <c r="H53" s="601" t="s">
        <v>127</v>
      </c>
      <c r="I53" s="602">
        <v>39.75</v>
      </c>
      <c r="J53" s="613" t="s">
        <v>801</v>
      </c>
    </row>
    <row r="54" spans="1:10" ht="12.75">
      <c r="A54" s="601"/>
      <c r="B54" s="604"/>
      <c r="C54" s="843"/>
      <c r="D54" s="843"/>
      <c r="E54" s="843"/>
      <c r="F54" s="843"/>
      <c r="G54" s="843"/>
      <c r="H54" s="601"/>
      <c r="I54" s="602"/>
      <c r="J54" s="606"/>
    </row>
    <row r="55" spans="1:10" ht="12.75">
      <c r="A55" s="601" t="str">
        <f>'PLANILHA ORÇAMENTÁRIA'!A59</f>
        <v>6.0</v>
      </c>
      <c r="B55" s="640"/>
      <c r="C55" s="799" t="s">
        <v>19</v>
      </c>
      <c r="D55" s="800"/>
      <c r="E55" s="800"/>
      <c r="F55" s="800"/>
      <c r="G55" s="801"/>
      <c r="H55" s="601"/>
      <c r="I55" s="602"/>
      <c r="J55" s="606"/>
    </row>
    <row r="56" spans="1:10" ht="12.75">
      <c r="A56" s="601" t="str">
        <f>'PLANILHA ORÇAMENTÁRIA'!A60</f>
        <v>6.1</v>
      </c>
      <c r="B56" s="601">
        <v>40813</v>
      </c>
      <c r="C56" s="788" t="str">
        <f>'PLANILHA ORÇAMENTÁRIA'!D60</f>
        <v>Impermeabilização de estrutura com Sika Top 107 ou equivalente</v>
      </c>
      <c r="D56" s="789"/>
      <c r="E56" s="789"/>
      <c r="F56" s="789"/>
      <c r="G56" s="790"/>
      <c r="H56" s="601" t="s">
        <v>128</v>
      </c>
      <c r="I56" s="602">
        <v>34.43</v>
      </c>
      <c r="J56" s="628" t="s">
        <v>802</v>
      </c>
    </row>
    <row r="57" spans="1:10" ht="45" customHeight="1">
      <c r="A57" s="601" t="str">
        <f>'PLANILHA ORÇAMENTÁRIA'!A61</f>
        <v>6.2</v>
      </c>
      <c r="B57" s="604" t="s">
        <v>699</v>
      </c>
      <c r="C57" s="788" t="str">
        <f>'PLANILHA ORÇAMENTÁRIA'!D61</f>
        <v>PROTEÇÃO MECÂNICA DE SUPERFICIE HORIZONTAL COM ARGAMASSA DE CIMENTO E AREIA, TRAÇO 1:3, E=4CM. AF_06/2018</v>
      </c>
      <c r="D57" s="789"/>
      <c r="E57" s="789"/>
      <c r="F57" s="789"/>
      <c r="G57" s="790"/>
      <c r="H57" s="601" t="s">
        <v>128</v>
      </c>
      <c r="I57" s="602">
        <v>34.43</v>
      </c>
      <c r="J57" s="628" t="s">
        <v>802</v>
      </c>
    </row>
    <row r="58" spans="1:10" ht="12.75">
      <c r="A58" s="601"/>
      <c r="B58" s="604"/>
      <c r="C58" s="802"/>
      <c r="D58" s="803"/>
      <c r="E58" s="803"/>
      <c r="F58" s="803"/>
      <c r="G58" s="804"/>
      <c r="H58" s="601"/>
      <c r="I58" s="602"/>
      <c r="J58" s="618"/>
    </row>
    <row r="59" spans="1:10" ht="12.75">
      <c r="A59" s="601" t="str">
        <f>'PLANILHA ORÇAMENTÁRIA'!A63</f>
        <v>7.0</v>
      </c>
      <c r="B59" s="603"/>
      <c r="C59" s="812" t="s">
        <v>84</v>
      </c>
      <c r="D59" s="812"/>
      <c r="E59" s="812"/>
      <c r="F59" s="812"/>
      <c r="G59" s="812"/>
      <c r="H59" s="601"/>
      <c r="I59" s="602"/>
      <c r="J59" s="618"/>
    </row>
    <row r="60" spans="1:10" ht="69.75" customHeight="1">
      <c r="A60" s="601" t="str">
        <f>'PLANILHA ORÇAMENTÁRIA'!A64</f>
        <v>7.1</v>
      </c>
      <c r="B60" s="601">
        <v>50503</v>
      </c>
      <c r="C60" s="788" t="str">
        <f>'PLANILHA ORÇAMENTÁRIA'!D64</f>
        <v>Alvenaria de blocos de concreto estrut. (9x19x39cm) cheios, com resistência mín. compr. 15MPa, assentados c/ arg. de cimento e areia no traço 1:4, esp. juntas 10mm e esp. da parede s/ revest. 9cm</v>
      </c>
      <c r="D60" s="789"/>
      <c r="E60" s="789"/>
      <c r="F60" s="789"/>
      <c r="G60" s="790"/>
      <c r="H60" s="601" t="s">
        <v>128</v>
      </c>
      <c r="I60" s="602">
        <v>403.33</v>
      </c>
      <c r="J60" s="628" t="s">
        <v>803</v>
      </c>
    </row>
    <row r="61" spans="1:10" ht="58.5" customHeight="1">
      <c r="A61" s="601" t="str">
        <f>'PLANILHA ORÇAMENTÁRIA'!A65</f>
        <v>7.2</v>
      </c>
      <c r="B61" s="601">
        <v>50205</v>
      </c>
      <c r="C61" s="789" t="str">
        <f>'PLANILHA ORÇAMENTÁRIA'!D65</f>
        <v>Divisória de granito com 3 cm de espessura, assentada com argamassa de cimento e areia no traço 1:3, na cor cinza</v>
      </c>
      <c r="D61" s="789"/>
      <c r="E61" s="789"/>
      <c r="F61" s="789"/>
      <c r="G61" s="790"/>
      <c r="H61" s="601" t="s">
        <v>128</v>
      </c>
      <c r="I61" s="602">
        <v>10.37</v>
      </c>
      <c r="J61" s="628" t="s">
        <v>806</v>
      </c>
    </row>
    <row r="62" spans="1:10" ht="30.75" customHeight="1">
      <c r="A62" s="601"/>
      <c r="B62" s="604"/>
      <c r="C62" s="813"/>
      <c r="D62" s="814"/>
      <c r="E62" s="814"/>
      <c r="F62" s="814"/>
      <c r="G62" s="815"/>
      <c r="H62" s="601"/>
      <c r="I62" s="602"/>
      <c r="J62" s="606"/>
    </row>
    <row r="63" spans="1:10" ht="39.75" customHeight="1">
      <c r="A63" s="601" t="str">
        <f>'PLANILHA ORÇAMENTÁRIA'!A67</f>
        <v>8.0</v>
      </c>
      <c r="B63" s="603"/>
      <c r="C63" s="812" t="s">
        <v>676</v>
      </c>
      <c r="D63" s="812"/>
      <c r="E63" s="812"/>
      <c r="F63" s="812"/>
      <c r="G63" s="812"/>
      <c r="H63" s="597"/>
      <c r="I63" s="605"/>
      <c r="J63" s="609"/>
    </row>
    <row r="64" spans="1:10" ht="116.25" customHeight="1">
      <c r="A64" s="601" t="str">
        <f>'PLANILHA ORÇAMENTÁRIA'!A68</f>
        <v>8.1</v>
      </c>
      <c r="B64" s="601">
        <f>'PLANILHA ORÇAMENTÁRIA'!C68</f>
        <v>120308</v>
      </c>
      <c r="C64" s="788" t="str">
        <f>'PLANILHA ORÇAMENTÁRIA'!D68</f>
        <v>Chapisco de argamassa de cimento e areia média ou grossa lavada no traço 1:3, espessura 5mm, com utilização de impermeabilizante</v>
      </c>
      <c r="D64" s="789"/>
      <c r="E64" s="789"/>
      <c r="F64" s="789"/>
      <c r="G64" s="790"/>
      <c r="H64" s="601" t="s">
        <v>128</v>
      </c>
      <c r="I64" s="602">
        <v>1003.17</v>
      </c>
      <c r="J64" s="611" t="s">
        <v>807</v>
      </c>
    </row>
    <row r="65" spans="1:10" ht="222.75" customHeight="1">
      <c r="A65" s="601" t="str">
        <f>'PLANILHA ORÇAMENTÁRIA'!A69</f>
        <v>8.2</v>
      </c>
      <c r="B65" s="601">
        <f>'PLANILHA ORÇAMENTÁRIA'!C69</f>
        <v>120301</v>
      </c>
      <c r="C65" s="788" t="str">
        <f>'PLANILHA ORÇAMENTÁRIA'!D69</f>
        <v>Emboço de argamassa de cimento, cal hidratada CH1 e areia média ou grossa lavada no traço 1:0.5:6, espessura 20 mm</v>
      </c>
      <c r="D65" s="789"/>
      <c r="E65" s="789"/>
      <c r="F65" s="789"/>
      <c r="G65" s="790"/>
      <c r="H65" s="601" t="s">
        <v>128</v>
      </c>
      <c r="I65" s="602">
        <v>116.12</v>
      </c>
      <c r="J65" s="641" t="s">
        <v>808</v>
      </c>
    </row>
    <row r="66" spans="1:10" ht="193.5" customHeight="1">
      <c r="A66" s="601" t="str">
        <f>'PLANILHA ORÇAMENTÁRIA'!A70</f>
        <v>8.3</v>
      </c>
      <c r="B66" s="601" t="str">
        <f>'PLANILHA ORÇAMENTÁRIA'!C70</f>
        <v>87265</v>
      </c>
      <c r="C66" s="788" t="str">
        <f>'PLANILHA ORÇAMENTÁRIA'!D70</f>
        <v>REVESTIMENTO CERÂMICO PARA PAREDES INTERNAS COM PLACAS TIPO ESMALTADA  EXTRA DE DIMENSÕES 20X20 CM APLICADAS EM AMBIENTES DE ÁREA MAIOR QUE 5 M² NA ALTURA INTEIRA DAS PAREDES. AF_06/2014</v>
      </c>
      <c r="D66" s="789"/>
      <c r="E66" s="789"/>
      <c r="F66" s="789"/>
      <c r="G66" s="790"/>
      <c r="H66" s="601" t="s">
        <v>128</v>
      </c>
      <c r="I66" s="602">
        <v>401.12</v>
      </c>
      <c r="J66" s="641" t="s">
        <v>1124</v>
      </c>
    </row>
    <row r="67" spans="1:10" ht="57" customHeight="1">
      <c r="A67" s="601" t="s">
        <v>1057</v>
      </c>
      <c r="B67" s="601" t="str">
        <f>'PLANILHA ORÇAMENTÁRIA'!C71</f>
        <v>110201 </v>
      </c>
      <c r="C67" s="796" t="str">
        <f>'PLANILHA ORÇAMENTÁRIA'!D71</f>
        <v>Forro de gesso acabamento tipo liso</v>
      </c>
      <c r="D67" s="797"/>
      <c r="E67" s="797"/>
      <c r="F67" s="797"/>
      <c r="G67" s="798"/>
      <c r="H67" s="601" t="str">
        <f>'PLANILHA ORÇAMENTÁRIA'!E71</f>
        <v>M2</v>
      </c>
      <c r="I67" s="602">
        <f>'PLANILHA ORÇAMENTÁRIA'!F71</f>
        <v>196.51</v>
      </c>
      <c r="J67" s="641" t="s">
        <v>1123</v>
      </c>
    </row>
    <row r="68" spans="1:10" ht="64.5" customHeight="1">
      <c r="A68" s="601" t="str">
        <f>'PLANILHA ORÇAMENTÁRIA'!A72</f>
        <v>8.5</v>
      </c>
      <c r="B68" s="601" t="str">
        <f>'PLANILHA ORÇAMENTÁRIA'!C72</f>
        <v>87530</v>
      </c>
      <c r="C68" s="788" t="str">
        <f>'PLANILHA ORÇAMENTÁRIA'!D72</f>
        <v>MASSA ÚNICA, PARA RECEBIMENTO DE PINTURA, EM ARGAMASSA TRAÇO 1:2:8, PREPARO MANUAL, APLICADA MANUALMENTE EM FACES INTERNAS DE PAREDES, ESPES SURA DE 20MM, COM EXECUÇÃO DE TALISCAS. AF_06/2014</v>
      </c>
      <c r="D68" s="789"/>
      <c r="E68" s="789"/>
      <c r="F68" s="789"/>
      <c r="G68" s="790"/>
      <c r="H68" s="601" t="s">
        <v>128</v>
      </c>
      <c r="I68" s="602">
        <v>887.05</v>
      </c>
      <c r="J68" s="641" t="s">
        <v>809</v>
      </c>
    </row>
    <row r="69" spans="1:10" ht="21" customHeight="1">
      <c r="A69" s="601"/>
      <c r="B69" s="645"/>
      <c r="C69" s="791"/>
      <c r="D69" s="792"/>
      <c r="E69" s="792"/>
      <c r="F69" s="792"/>
      <c r="G69" s="793"/>
      <c r="H69" s="601"/>
      <c r="I69" s="602"/>
      <c r="J69" s="610"/>
    </row>
    <row r="70" spans="1:10" ht="32.25" customHeight="1">
      <c r="A70" s="601" t="str">
        <f>'PLANILHA ORÇAMENTÁRIA'!A74</f>
        <v>9.0</v>
      </c>
      <c r="B70" s="603"/>
      <c r="C70" s="812" t="s">
        <v>736</v>
      </c>
      <c r="D70" s="812"/>
      <c r="E70" s="812"/>
      <c r="F70" s="812"/>
      <c r="G70" s="812"/>
      <c r="H70" s="601"/>
      <c r="I70" s="602"/>
      <c r="J70" s="610"/>
    </row>
    <row r="71" spans="1:10" ht="96">
      <c r="A71" s="601" t="str">
        <f>'PLANILHA ORÇAMENTÁRIA'!A75</f>
        <v>9.1</v>
      </c>
      <c r="B71" s="601">
        <v>130109</v>
      </c>
      <c r="C71" s="787" t="str">
        <f>'PLANILHA ORÇAMENTÁRIA'!D75</f>
        <v>Lastro regularizado e impermeabilizado de concreto não estrutural, espessura de 8 cm</v>
      </c>
      <c r="D71" s="787"/>
      <c r="E71" s="787"/>
      <c r="F71" s="787"/>
      <c r="G71" s="787"/>
      <c r="H71" s="601" t="s">
        <v>142</v>
      </c>
      <c r="I71" s="602">
        <v>379.27</v>
      </c>
      <c r="J71" s="644" t="s">
        <v>1089</v>
      </c>
    </row>
    <row r="72" spans="1:10" ht="96" customHeight="1">
      <c r="A72" s="601" t="str">
        <f>'PLANILHA ORÇAMENTÁRIA'!A76</f>
        <v>9.2</v>
      </c>
      <c r="B72" s="601">
        <v>130308</v>
      </c>
      <c r="C72" s="787" t="str">
        <f>'PLANILHA ORÇAMENTÁRIA'!D76</f>
        <v>Soleira de granito esp. 2 cm e largura de 15 cm</v>
      </c>
      <c r="D72" s="787"/>
      <c r="E72" s="787"/>
      <c r="F72" s="787"/>
      <c r="G72" s="787"/>
      <c r="H72" s="601" t="s">
        <v>127</v>
      </c>
      <c r="I72" s="602">
        <v>18.55</v>
      </c>
      <c r="J72" s="628" t="s">
        <v>810</v>
      </c>
    </row>
    <row r="73" spans="1:10" ht="108" customHeight="1">
      <c r="A73" s="601" t="str">
        <f>'PLANILHA ORÇAMENTÁRIA'!A77</f>
        <v>9.3</v>
      </c>
      <c r="B73" s="601">
        <v>130209</v>
      </c>
      <c r="C73" s="787" t="str">
        <f>'PLANILHA ORÇAMENTÁRIA'!D77</f>
        <v>Piso de cimentado camurçado executado com argamassa de cimento e areia no traço 1:3, esp. 3.0cm</v>
      </c>
      <c r="D73" s="787"/>
      <c r="E73" s="787"/>
      <c r="F73" s="787"/>
      <c r="G73" s="787"/>
      <c r="H73" s="601" t="s">
        <v>128</v>
      </c>
      <c r="I73" s="602">
        <v>159.35</v>
      </c>
      <c r="J73" s="646" t="s">
        <v>1024</v>
      </c>
    </row>
    <row r="74" spans="1:10" ht="47.25" customHeight="1">
      <c r="A74" s="601" t="str">
        <f>'PLANILHA ORÇAMENTÁRIA'!A78</f>
        <v>9.4</v>
      </c>
      <c r="B74" s="604" t="s">
        <v>689</v>
      </c>
      <c r="C74" s="787" t="str">
        <f>'PLANILHA ORÇAMENTÁRIA'!D78</f>
        <v>Regularização de base p/ revestimento cerâmico, com argamassa de cimento e areia no traço 1:5, espessura 3cm</v>
      </c>
      <c r="D74" s="787"/>
      <c r="E74" s="787"/>
      <c r="F74" s="787"/>
      <c r="G74" s="787"/>
      <c r="H74" s="601" t="s">
        <v>128</v>
      </c>
      <c r="I74" s="602">
        <v>196.51</v>
      </c>
      <c r="J74" s="642" t="s">
        <v>811</v>
      </c>
    </row>
    <row r="75" spans="1:10" ht="65.25" customHeight="1">
      <c r="A75" s="601" t="str">
        <f>'PLANILHA ORÇAMENTÁRIA'!A79</f>
        <v>9.5</v>
      </c>
      <c r="B75" s="601">
        <v>130219</v>
      </c>
      <c r="C75" s="787" t="str">
        <f>'PLANILHA ORÇAMENTÁRIA'!D79</f>
        <v>Porcelanato polido, acabamento acetinado, dim. 60x60cm, ref. de cor CIMENTO CINZA BOLD Potobello/equiv, utilizando dupla colagem de argamassa colante para porcelanato tipo ACIII e rejunte 1mm para porcelanato</v>
      </c>
      <c r="D75" s="787"/>
      <c r="E75" s="787"/>
      <c r="F75" s="787"/>
      <c r="G75" s="787"/>
      <c r="H75" s="601" t="s">
        <v>128</v>
      </c>
      <c r="I75" s="602">
        <v>196.51</v>
      </c>
      <c r="J75" s="642" t="s">
        <v>811</v>
      </c>
    </row>
    <row r="76" spans="1:10" ht="220.5" customHeight="1">
      <c r="A76" s="601" t="str">
        <f>'PLANILHA ORÇAMENTÁRIA'!A80</f>
        <v>9.6</v>
      </c>
      <c r="B76" s="601">
        <v>120227</v>
      </c>
      <c r="C76" s="787" t="str">
        <f>'PLANILHA ORÇAMENTÁRIA'!D80</f>
        <v>Roda parede em granito cinza andorinha 7x2cm, com acabamento abaulado nos dois lados</v>
      </c>
      <c r="D76" s="787"/>
      <c r="E76" s="787"/>
      <c r="F76" s="787"/>
      <c r="G76" s="787"/>
      <c r="H76" s="601" t="s">
        <v>127</v>
      </c>
      <c r="I76" s="602">
        <v>117.6</v>
      </c>
      <c r="J76" s="628" t="s">
        <v>812</v>
      </c>
    </row>
    <row r="77" spans="1:10" ht="162" customHeight="1">
      <c r="A77" s="601" t="str">
        <f>'PLANILHA ORÇAMENTÁRIA'!A81</f>
        <v>9.7</v>
      </c>
      <c r="B77" s="601">
        <v>101733</v>
      </c>
      <c r="C77" s="787" t="str">
        <f>'PLANILHA ORÇAMENTÁRIA'!D81</f>
        <v>PISO DE BORRACHA PASTILHADO/FRISADO, ESPESSURA 7MM, ASSENTADO COM ARGA MASSA. AF_09/2020</v>
      </c>
      <c r="D77" s="787"/>
      <c r="E77" s="787"/>
      <c r="F77" s="787"/>
      <c r="G77" s="787"/>
      <c r="H77" s="601" t="s">
        <v>128</v>
      </c>
      <c r="I77" s="602">
        <v>9.88</v>
      </c>
      <c r="J77" s="644" t="s">
        <v>934</v>
      </c>
    </row>
    <row r="78" spans="1:10" ht="121.5" customHeight="1">
      <c r="A78" s="601" t="str">
        <f>'PLANILHA ORÇAMENTÁRIA'!A82</f>
        <v>9.8</v>
      </c>
      <c r="B78" s="604" t="s">
        <v>729</v>
      </c>
      <c r="C78" s="787" t="str">
        <f>'PLANILHA ORÇAMENTÁRIA'!D82</f>
        <v>Fornecimento e assentamento de ladrilho hidráulico pastilhado, vermelho, dim. 20x20 cm, esp. 1.5cm, com pasta de cimento colante, exclusive regularização e lastro</v>
      </c>
      <c r="D78" s="787"/>
      <c r="E78" s="787"/>
      <c r="F78" s="787"/>
      <c r="G78" s="787"/>
      <c r="H78" s="601" t="s">
        <v>128</v>
      </c>
      <c r="I78" s="602">
        <v>4.46</v>
      </c>
      <c r="J78" s="628" t="s">
        <v>813</v>
      </c>
    </row>
    <row r="79" spans="1:10" ht="67.5" customHeight="1">
      <c r="A79" s="601" t="str">
        <f>'PLANILHA ORÇAMENTÁRIA'!A83</f>
        <v>9.9</v>
      </c>
      <c r="B79" s="604" t="s">
        <v>730</v>
      </c>
      <c r="C79" s="787" t="str">
        <f>'PLANILHA ORÇAMENTÁRIA'!D83</f>
        <v>Fornecimento e assentamento de ladrilho hidráulico ranhurado, vermelho, dim. 20x20 cm, esp. 1.5cm, com pasta de cimento colante, exclusive regularização e lastro</v>
      </c>
      <c r="D79" s="787"/>
      <c r="E79" s="787"/>
      <c r="F79" s="787"/>
      <c r="G79" s="787"/>
      <c r="H79" s="601" t="s">
        <v>128</v>
      </c>
      <c r="I79" s="602">
        <v>18.95</v>
      </c>
      <c r="J79" s="628" t="s">
        <v>814</v>
      </c>
    </row>
    <row r="80" spans="1:10" ht="15.75" customHeight="1">
      <c r="A80" s="601"/>
      <c r="B80" s="604"/>
      <c r="C80" s="791"/>
      <c r="D80" s="792"/>
      <c r="E80" s="792"/>
      <c r="F80" s="792"/>
      <c r="G80" s="793"/>
      <c r="H80" s="601"/>
      <c r="I80" s="602"/>
      <c r="J80" s="610"/>
    </row>
    <row r="81" spans="1:10" ht="39.75" customHeight="1">
      <c r="A81" s="601" t="str">
        <f>'PLANILHA ORÇAMENTÁRIA'!A85</f>
        <v>10.0</v>
      </c>
      <c r="B81" s="603"/>
      <c r="C81" s="812" t="s">
        <v>662</v>
      </c>
      <c r="D81" s="812"/>
      <c r="E81" s="812"/>
      <c r="F81" s="812"/>
      <c r="G81" s="812"/>
      <c r="H81" s="601"/>
      <c r="I81" s="602"/>
      <c r="J81" s="611"/>
    </row>
    <row r="82" spans="1:10" ht="39.75" customHeight="1">
      <c r="A82" s="601" t="str">
        <f>'PLANILHA ORÇAMENTÁRIA'!A86</f>
        <v>10.1</v>
      </c>
      <c r="B82" s="604" t="s">
        <v>604</v>
      </c>
      <c r="C82" s="788" t="str">
        <f>'PLANILHA ORÇAMENTÁRIA'!D86</f>
        <v>Padrão de entrada de energia elétrica, bifásico, entrada aérea, a 3 fios, carga instalada em muro de 9001 até 15000W - 220/127V</v>
      </c>
      <c r="D82" s="789"/>
      <c r="E82" s="789"/>
      <c r="F82" s="789"/>
      <c r="G82" s="790"/>
      <c r="H82" s="601" t="s">
        <v>138</v>
      </c>
      <c r="I82" s="602">
        <v>1</v>
      </c>
      <c r="J82" s="611" t="s">
        <v>815</v>
      </c>
    </row>
    <row r="83" spans="1:10" ht="41.25" customHeight="1">
      <c r="A83" s="601" t="str">
        <f>'PLANILHA ORÇAMENTÁRIA'!A87</f>
        <v>10.2</v>
      </c>
      <c r="B83" s="604" t="s">
        <v>497</v>
      </c>
      <c r="C83" s="788" t="str">
        <f>'PLANILHA ORÇAMENTÁRIA'!D87</f>
        <v>Ponto padrão de luz no teto - considerando eletroduto PVC rígido de 3/4" inclusive conexões (4.5m), fio isolado PVC de 2.5mm2 (16.2m) e caixa PVC 4x4" (1 und)</v>
      </c>
      <c r="D83" s="789"/>
      <c r="E83" s="789"/>
      <c r="F83" s="789"/>
      <c r="G83" s="790"/>
      <c r="H83" s="601" t="s">
        <v>614</v>
      </c>
      <c r="I83" s="602">
        <v>22</v>
      </c>
      <c r="J83" s="611" t="s">
        <v>816</v>
      </c>
    </row>
    <row r="84" spans="1:10" ht="54" customHeight="1">
      <c r="A84" s="601" t="str">
        <f>'PLANILHA ORÇAMENTÁRIA'!A88</f>
        <v>10.3</v>
      </c>
      <c r="B84" s="601">
        <v>151803</v>
      </c>
      <c r="C84" s="788" t="str">
        <f>'PLANILHA ORÇAMENTÁRIA'!D88</f>
        <v>Ponto padrão de tomada 2 pólos mais terra - considerando eletroduto PVC rígido de 3/4" inclusive conexões (5.0m), fio isolado PVC de 2.5mm2 (16.5m) e caixa pvc 4x2" (1 und)</v>
      </c>
      <c r="D84" s="789"/>
      <c r="E84" s="789"/>
      <c r="F84" s="789"/>
      <c r="G84" s="790"/>
      <c r="H84" s="601" t="s">
        <v>614</v>
      </c>
      <c r="I84" s="602">
        <v>54</v>
      </c>
      <c r="J84" s="611" t="s">
        <v>817</v>
      </c>
    </row>
    <row r="85" spans="1:10" ht="53.25" customHeight="1">
      <c r="A85" s="601" t="str">
        <f>'PLANILHA ORÇAMENTÁRIA'!A89</f>
        <v>10.4</v>
      </c>
      <c r="B85" s="604" t="s">
        <v>710</v>
      </c>
      <c r="C85" s="788" t="str">
        <f>'PLANILHA ORÇAMENTÁRIA'!D89</f>
        <v>Ponto padrão de tomada de piso - considerando eletroduto PVC rígido de 3/4" inclusive conexões (5.0m), fio isolado PVC de 2.5mm2 (18.0m) e caixa alumínio silício 4x4" (1 und)</v>
      </c>
      <c r="D85" s="789"/>
      <c r="E85" s="789"/>
      <c r="F85" s="789"/>
      <c r="G85" s="790"/>
      <c r="H85" s="601" t="s">
        <v>614</v>
      </c>
      <c r="I85" s="602">
        <v>1</v>
      </c>
      <c r="J85" s="611" t="s">
        <v>815</v>
      </c>
    </row>
    <row r="86" spans="1:10" ht="57" customHeight="1">
      <c r="A86" s="601" t="str">
        <f>'PLANILHA ORÇAMENTÁRIA'!A90</f>
        <v>10.5</v>
      </c>
      <c r="B86" s="601">
        <v>151806</v>
      </c>
      <c r="C86" s="788" t="str">
        <f>'PLANILHA ORÇAMENTÁRIA'!D90</f>
        <v>Ponto padrão de tomada para ar refrigerado - considerando eletroduto PVC rígido de 3/4" inclusive conexões (6.0m), fio isolado PVC de 4.0mm2 (21.6m) e caixa PVC 4x2" (1 und)</v>
      </c>
      <c r="D86" s="789"/>
      <c r="E86" s="789"/>
      <c r="F86" s="789"/>
      <c r="G86" s="790"/>
      <c r="H86" s="601" t="s">
        <v>614</v>
      </c>
      <c r="I86" s="602">
        <v>6</v>
      </c>
      <c r="J86" s="611" t="s">
        <v>818</v>
      </c>
    </row>
    <row r="87" spans="1:10" ht="54.75" customHeight="1">
      <c r="A87" s="601" t="str">
        <f>'PLANILHA ORÇAMENTÁRIA'!A91</f>
        <v>10.6</v>
      </c>
      <c r="B87" s="601">
        <v>151801</v>
      </c>
      <c r="C87" s="788" t="str">
        <f>'PLANILHA ORÇAMENTÁRIA'!D91</f>
        <v>Ponto padrão de luz no teto - considerando eletroduto PVC rígido de 3/4" inclusive conexões (4.5m), fio isolado PVC de 2.5mm2 (16.2m) e caixa PVC 4x4" (1 und)</v>
      </c>
      <c r="D87" s="789"/>
      <c r="E87" s="789"/>
      <c r="F87" s="789"/>
      <c r="G87" s="790"/>
      <c r="H87" s="601" t="s">
        <v>614</v>
      </c>
      <c r="I87" s="602">
        <v>13</v>
      </c>
      <c r="J87" s="611" t="s">
        <v>941</v>
      </c>
    </row>
    <row r="88" spans="1:10" ht="54.75" customHeight="1">
      <c r="A88" s="601" t="str">
        <f>'PLANILHA ORÇAMENTÁRIA'!A92</f>
        <v>10.7</v>
      </c>
      <c r="B88" s="601">
        <v>151820</v>
      </c>
      <c r="C88" s="788" t="str">
        <f>'PLANILHA ORÇAMENTÁRIA'!D92</f>
        <v>Ponto padrão de interruptor de 1 tecla intermediário - considerando eletroduto PVC rígido de 3/4" inclusive conexões (3.3m), fio isolado PVC de 2.5mm2 (15.8m) e caixa PVC 4x2" (1 und)</v>
      </c>
      <c r="D88" s="789"/>
      <c r="E88" s="789"/>
      <c r="F88" s="789"/>
      <c r="G88" s="790"/>
      <c r="H88" s="601" t="s">
        <v>614</v>
      </c>
      <c r="I88" s="602">
        <v>2</v>
      </c>
      <c r="J88" s="611" t="s">
        <v>819</v>
      </c>
    </row>
    <row r="89" spans="1:10" ht="59.25" customHeight="1">
      <c r="A89" s="601" t="str">
        <f>'PLANILHA ORÇAMENTÁRIA'!A93</f>
        <v>10.8</v>
      </c>
      <c r="B89" s="601">
        <v>151809</v>
      </c>
      <c r="C89" s="788" t="str">
        <f>'PLANILHA ORÇAMENTÁRIA'!D93</f>
        <v>Ponto padrão de interruptor de 2 teclas simples - considerando eletroduto PVC rígido de 3/4" inclusive conexões (3.3m), fio isolado PVC de 2.5mm2 (17.2m) e caixa PVC 4x2" (1 und)</v>
      </c>
      <c r="D89" s="789"/>
      <c r="E89" s="789"/>
      <c r="F89" s="789"/>
      <c r="G89" s="790"/>
      <c r="H89" s="601" t="s">
        <v>614</v>
      </c>
      <c r="I89" s="602">
        <v>2</v>
      </c>
      <c r="J89" s="611" t="s">
        <v>819</v>
      </c>
    </row>
    <row r="90" spans="1:10" ht="52.5" customHeight="1">
      <c r="A90" s="601" t="str">
        <f>'PLANILHA ORÇAMENTÁRIA'!A94</f>
        <v>10.9</v>
      </c>
      <c r="B90" s="604" t="s">
        <v>707</v>
      </c>
      <c r="C90" s="788" t="str">
        <f>'PLANILHA ORÇAMENTÁRIA'!D94</f>
        <v>Ponto padrão de interruptor de 3 teclas simples - considerando eletroduto PVC rígido de 3/4" inclusive conexões (4.5m), fio isolado PVC de 2.5mm2 (25.8m) e caixa estampada 4x2" (1 und)</v>
      </c>
      <c r="D90" s="789"/>
      <c r="E90" s="789"/>
      <c r="F90" s="789"/>
      <c r="G90" s="790"/>
      <c r="H90" s="601" t="s">
        <v>614</v>
      </c>
      <c r="I90" s="643">
        <v>2</v>
      </c>
      <c r="J90" s="611" t="s">
        <v>819</v>
      </c>
    </row>
    <row r="91" spans="1:10" ht="53.25" customHeight="1">
      <c r="A91" s="601" t="str">
        <f>'PLANILHA ORÇAMENTÁRIA'!A95</f>
        <v>10.10</v>
      </c>
      <c r="B91" s="601">
        <v>151810</v>
      </c>
      <c r="C91" s="788" t="str">
        <f>'PLANILHA ORÇAMENTÁRIA'!D95</f>
        <v>Ponto padrão de interruptor de 1 tecla paralelo - considerando eletroduto PVC rígido de 3/4" inclusive conexões (8.5m), fio isolado PVC de 2.5mm2 (28.8m) e caixa PVC 4x2" (1 und)</v>
      </c>
      <c r="D91" s="789"/>
      <c r="E91" s="789"/>
      <c r="F91" s="789"/>
      <c r="G91" s="790"/>
      <c r="H91" s="601" t="s">
        <v>614</v>
      </c>
      <c r="I91" s="643">
        <v>3</v>
      </c>
      <c r="J91" s="611" t="s">
        <v>791</v>
      </c>
    </row>
    <row r="92" spans="1:10" ht="66" customHeight="1">
      <c r="A92" s="601" t="str">
        <f>'PLANILHA ORÇAMENTÁRIA'!A96</f>
        <v>10.11</v>
      </c>
      <c r="B92" s="601">
        <v>151903</v>
      </c>
      <c r="C92" s="788" t="str">
        <f>'PLANILHA ORÇAMENTÁRIA'!D96</f>
        <v>Quadro distrib. energia, embutido ou semi embutido, capac. p/ 34 disj. DIN, c/barram trif. 100A barra. neutro e terra, fab. em chapa de aço 12 USG com porta, espelho, trinco com fechad ch yale, Ref. QDTN II-34DIN_x0002_CEMAR ou equiv</v>
      </c>
      <c r="D92" s="789"/>
      <c r="E92" s="789"/>
      <c r="F92" s="789"/>
      <c r="G92" s="790"/>
      <c r="H92" s="601" t="s">
        <v>138</v>
      </c>
      <c r="I92" s="602">
        <v>1</v>
      </c>
      <c r="J92" s="611" t="s">
        <v>815</v>
      </c>
    </row>
    <row r="93" spans="1:10" ht="44.25" customHeight="1">
      <c r="A93" s="601" t="str">
        <f>'PLANILHA ORÇAMENTÁRIA'!A97</f>
        <v>10.12</v>
      </c>
      <c r="B93" s="622" t="s">
        <v>711</v>
      </c>
      <c r="C93" s="788" t="str">
        <f>'PLANILHA ORÇAMENTÁRIA'!D97</f>
        <v>Mini-Disjuntor bipolar 80 A, curva C - 5KA 240VCA (NBR IEC 60947-2), Ref. Siemens, GE, Schneider ou equivalente</v>
      </c>
      <c r="D93" s="789"/>
      <c r="E93" s="789"/>
      <c r="F93" s="789"/>
      <c r="G93" s="790"/>
      <c r="H93" s="601" t="s">
        <v>138</v>
      </c>
      <c r="I93" s="602">
        <v>1</v>
      </c>
      <c r="J93" s="611" t="s">
        <v>815</v>
      </c>
    </row>
    <row r="94" spans="1:10" ht="47.25" customHeight="1">
      <c r="A94" s="601" t="str">
        <f>'PLANILHA ORÇAMENTÁRIA'!A98</f>
        <v>10.13</v>
      </c>
      <c r="B94" s="601">
        <v>151329</v>
      </c>
      <c r="C94" s="788" t="str">
        <f>'PLANILHA ORÇAMENTÁRIA'!D98</f>
        <v>Mini-Disjuntor tripolar 32 A, curva C - 5KA 220/127VCA (NBR IEC 60947-2), Ref. Siemens, GE, Schneider ou equivalente</v>
      </c>
      <c r="D94" s="789"/>
      <c r="E94" s="789"/>
      <c r="F94" s="789"/>
      <c r="G94" s="790"/>
      <c r="H94" s="601" t="s">
        <v>138</v>
      </c>
      <c r="I94" s="602">
        <v>6</v>
      </c>
      <c r="J94" s="611" t="s">
        <v>820</v>
      </c>
    </row>
    <row r="95" spans="1:10" ht="59.25" customHeight="1">
      <c r="A95" s="601" t="str">
        <f>'PLANILHA ORÇAMENTÁRIA'!A99</f>
        <v>10.14</v>
      </c>
      <c r="B95" s="601">
        <v>151320</v>
      </c>
      <c r="C95" s="788" t="str">
        <f>'PLANILHA ORÇAMENTÁRIA'!D99</f>
        <v>Mini-Disjuntor monopolar 80 A, curva C - 10KA 240VCA (NBR IEC 60947-2), Ref. Siemens, GE, Schneider ou equivalente</v>
      </c>
      <c r="D95" s="789"/>
      <c r="E95" s="789"/>
      <c r="F95" s="789"/>
      <c r="G95" s="790"/>
      <c r="H95" s="601" t="s">
        <v>138</v>
      </c>
      <c r="I95" s="602">
        <v>11</v>
      </c>
      <c r="J95" s="611" t="s">
        <v>821</v>
      </c>
    </row>
    <row r="96" spans="1:10" ht="66" customHeight="1">
      <c r="A96" s="601" t="str">
        <f>'PLANILHA ORÇAMENTÁRIA'!A100</f>
        <v>10.15</v>
      </c>
      <c r="B96" s="601">
        <v>97585</v>
      </c>
      <c r="C96" s="788" t="str">
        <f>'PLANILHA ORÇAMENTÁRIA'!D100</f>
        <v>LUMINÁRIA TIPO CALHA, DE SOBREPOR, COM 2 LÂMPADAS TUBULARES FLUORESCENTES DE 18 W, COM REATOR DE PARTIDA RÁPIDA - FORNECIMENTO E INSTALAÇÃO. AF_02/2020</v>
      </c>
      <c r="D96" s="789"/>
      <c r="E96" s="789"/>
      <c r="F96" s="789"/>
      <c r="G96" s="790"/>
      <c r="H96" s="601" t="s">
        <v>138</v>
      </c>
      <c r="I96" s="602">
        <v>3</v>
      </c>
      <c r="J96" s="611" t="s">
        <v>791</v>
      </c>
    </row>
    <row r="97" spans="1:10" ht="56.25" customHeight="1">
      <c r="A97" s="601" t="str">
        <f>'PLANILHA ORÇAMENTÁRIA'!A101</f>
        <v>10.16</v>
      </c>
      <c r="B97" s="204">
        <v>97586</v>
      </c>
      <c r="C97" s="788" t="str">
        <f>'PLANILHA ORÇAMENTÁRIA'!D101</f>
        <v>LUMINÁRIA TIPO CALHA, DE SOBREPOR, COM 2 LÂMPADAS TUBULARES FLUORESCEN UN AS 170,34 TES DE 36 W, COM REATOR DE PARTIDA RÁPIDA - FORNECIMENTO E INSTALAÇÃO. AF_02/2020</v>
      </c>
      <c r="D97" s="789"/>
      <c r="E97" s="789"/>
      <c r="F97" s="789"/>
      <c r="G97" s="790"/>
      <c r="H97" s="601" t="s">
        <v>138</v>
      </c>
      <c r="I97" s="602">
        <v>19</v>
      </c>
      <c r="J97" s="611" t="s">
        <v>822</v>
      </c>
    </row>
    <row r="98" spans="1:10" ht="37.5" customHeight="1">
      <c r="A98" s="601" t="str">
        <f>'PLANILHA ORÇAMENTÁRIA'!A102</f>
        <v>10.17</v>
      </c>
      <c r="B98" s="601">
        <v>180201</v>
      </c>
      <c r="C98" s="788" t="str">
        <f>'PLANILHA ORÇAMENTÁRIA'!D102</f>
        <v>Tomada padrão brasileiro linha branca, NBR 14136 2 polos + terra 10A/250V, com placa 4x2"</v>
      </c>
      <c r="D98" s="789"/>
      <c r="E98" s="789"/>
      <c r="F98" s="789"/>
      <c r="G98" s="790"/>
      <c r="H98" s="601" t="s">
        <v>138</v>
      </c>
      <c r="I98" s="652">
        <v>55</v>
      </c>
      <c r="J98" s="611" t="s">
        <v>947</v>
      </c>
    </row>
    <row r="99" spans="1:10" ht="36.75" customHeight="1">
      <c r="A99" s="601" t="str">
        <f>'PLANILHA ORÇAMENTÁRIA'!A103</f>
        <v>10.18</v>
      </c>
      <c r="B99" s="601">
        <v>180202</v>
      </c>
      <c r="C99" s="788" t="str">
        <f>'PLANILHA ORÇAMENTÁRIA'!D103</f>
        <v>Tomada padrão brasileiro linha branca, NBR 14136 2 polos + terra 20A/250V, com placa 4x2"</v>
      </c>
      <c r="D99" s="789"/>
      <c r="E99" s="789"/>
      <c r="F99" s="789"/>
      <c r="G99" s="790"/>
      <c r="H99" s="601" t="s">
        <v>138</v>
      </c>
      <c r="I99" s="652">
        <v>6</v>
      </c>
      <c r="J99" s="611" t="s">
        <v>946</v>
      </c>
    </row>
    <row r="100" spans="1:10" ht="34.5" customHeight="1">
      <c r="A100" s="601" t="str">
        <f>'PLANILHA ORÇAMENTÁRIA'!A104</f>
        <v>10.19</v>
      </c>
      <c r="B100" s="601">
        <v>180204</v>
      </c>
      <c r="C100" s="788" t="str">
        <f>'PLANILHA ORÇAMENTÁRIA'!D104</f>
        <v>Interruptor de uma tecla simples 10A/250V, com placa 4x2"</v>
      </c>
      <c r="D100" s="789"/>
      <c r="E100" s="789"/>
      <c r="F100" s="789"/>
      <c r="G100" s="790"/>
      <c r="H100" s="601" t="s">
        <v>138</v>
      </c>
      <c r="I100" s="652">
        <v>10</v>
      </c>
      <c r="J100" s="611" t="s">
        <v>945</v>
      </c>
    </row>
    <row r="101" spans="1:10" ht="32.25" customHeight="1">
      <c r="A101" s="601" t="str">
        <f>'PLANILHA ORÇAMENTÁRIA'!A105</f>
        <v>10.20</v>
      </c>
      <c r="B101" s="601">
        <v>180205</v>
      </c>
      <c r="C101" s="788" t="str">
        <f>'PLANILHA ORÇAMENTÁRIA'!D105</f>
        <v>Interruptor de duas teclas simples 10A/250V, com placa 4x2"</v>
      </c>
      <c r="D101" s="789"/>
      <c r="E101" s="789"/>
      <c r="F101" s="789"/>
      <c r="G101" s="790"/>
      <c r="H101" s="601" t="s">
        <v>138</v>
      </c>
      <c r="I101" s="652">
        <v>2</v>
      </c>
      <c r="J101" s="611" t="s">
        <v>944</v>
      </c>
    </row>
    <row r="102" spans="1:10" ht="23.25" customHeight="1">
      <c r="A102" s="601" t="str">
        <f>'PLANILHA ORÇAMENTÁRIA'!A106</f>
        <v>10.21</v>
      </c>
      <c r="B102" s="601">
        <v>180212</v>
      </c>
      <c r="C102" s="788" t="str">
        <f>'PLANILHA ORÇAMENTÁRIA'!D106</f>
        <v>interruptor de três teclas simples 10A/250V, c/ placa 4x2"</v>
      </c>
      <c r="D102" s="789"/>
      <c r="E102" s="789"/>
      <c r="F102" s="789"/>
      <c r="G102" s="790"/>
      <c r="H102" s="601" t="s">
        <v>138</v>
      </c>
      <c r="I102" s="652">
        <v>2</v>
      </c>
      <c r="J102" s="611" t="s">
        <v>944</v>
      </c>
    </row>
    <row r="103" spans="1:10" ht="25.5" customHeight="1">
      <c r="A103" s="601" t="str">
        <f>'PLANILHA ORÇAMENTÁRIA'!A107</f>
        <v>10.22</v>
      </c>
      <c r="B103" s="601">
        <v>180206</v>
      </c>
      <c r="C103" s="788" t="str">
        <f>'PLANILHA ORÇAMENTÁRIA'!D107</f>
        <v>Interruptor de uma tecla paralelo 10A/250V, com placa 4x2"</v>
      </c>
      <c r="D103" s="789"/>
      <c r="E103" s="789"/>
      <c r="F103" s="789"/>
      <c r="G103" s="790"/>
      <c r="H103" s="601" t="s">
        <v>138</v>
      </c>
      <c r="I103" s="652">
        <v>3</v>
      </c>
      <c r="J103" s="611" t="s">
        <v>943</v>
      </c>
    </row>
    <row r="104" spans="1:10" ht="25.5" customHeight="1">
      <c r="A104" s="601"/>
      <c r="B104" s="604"/>
      <c r="C104" s="791"/>
      <c r="D104" s="792"/>
      <c r="E104" s="792"/>
      <c r="F104" s="792"/>
      <c r="G104" s="793"/>
      <c r="H104" s="601"/>
      <c r="I104" s="602"/>
      <c r="J104" s="611"/>
    </row>
    <row r="105" spans="1:10" ht="12.75">
      <c r="A105" s="601" t="str">
        <f>'PLANILHA ORÇAMENTÁRIA'!A109</f>
        <v>11.0</v>
      </c>
      <c r="B105" s="603"/>
      <c r="C105" s="812" t="s">
        <v>663</v>
      </c>
      <c r="D105" s="812"/>
      <c r="E105" s="812"/>
      <c r="F105" s="812"/>
      <c r="G105" s="812"/>
      <c r="H105" s="601"/>
      <c r="I105" s="602"/>
      <c r="J105" s="611"/>
    </row>
    <row r="106" spans="1:10" ht="44.25" customHeight="1">
      <c r="A106" s="601" t="str">
        <f>'PLANILHA ORÇAMENTÁRIA'!A110</f>
        <v>11.1</v>
      </c>
      <c r="B106" s="601">
        <v>170540</v>
      </c>
      <c r="C106" s="787" t="str">
        <f>'PLANILHA ORÇAMENTÁRIA'!D110</f>
        <v>Reservatório de polietileno de 1000l, inclusive peça de madeira 6x16cm para apoio, exclusive flanges e torneira de bóia</v>
      </c>
      <c r="D106" s="787"/>
      <c r="E106" s="787"/>
      <c r="F106" s="787"/>
      <c r="G106" s="787"/>
      <c r="H106" s="601" t="s">
        <v>138</v>
      </c>
      <c r="I106" s="602">
        <v>2</v>
      </c>
      <c r="J106" s="611" t="s">
        <v>819</v>
      </c>
    </row>
    <row r="107" spans="1:10" ht="28.5" customHeight="1">
      <c r="A107" s="601" t="str">
        <f>'PLANILHA ORÇAMENTÁRIA'!A111</f>
        <v>11.2</v>
      </c>
      <c r="B107" s="624" t="s">
        <v>610</v>
      </c>
      <c r="C107" s="787" t="str">
        <f>'PLANILHA ORÇAMENTÁRIA'!D111</f>
        <v>Ponto de água fria (lavatório, tanque, pia de cozinha, etc...)</v>
      </c>
      <c r="D107" s="787"/>
      <c r="E107" s="787"/>
      <c r="F107" s="787"/>
      <c r="G107" s="787"/>
      <c r="H107" s="601" t="s">
        <v>614</v>
      </c>
      <c r="I107" s="602">
        <v>14</v>
      </c>
      <c r="J107" s="611" t="s">
        <v>792</v>
      </c>
    </row>
    <row r="108" spans="1:10" ht="30.75" customHeight="1">
      <c r="A108" s="601" t="str">
        <f>'PLANILHA ORÇAMENTÁRIA'!A112</f>
        <v>11.3</v>
      </c>
      <c r="B108" s="624" t="s">
        <v>508</v>
      </c>
      <c r="C108" s="787" t="str">
        <f>'PLANILHA ORÇAMENTÁRIA'!D112</f>
        <v>Ponto para esgoto primário (vaso sanitário)</v>
      </c>
      <c r="D108" s="787"/>
      <c r="E108" s="787"/>
      <c r="F108" s="787"/>
      <c r="G108" s="787"/>
      <c r="H108" s="601" t="s">
        <v>614</v>
      </c>
      <c r="I108" s="602">
        <v>5</v>
      </c>
      <c r="J108" s="611" t="s">
        <v>823</v>
      </c>
    </row>
    <row r="109" spans="1:10" ht="35.25" customHeight="1">
      <c r="A109" s="601" t="str">
        <f>'PLANILHA ORÇAMENTÁRIA'!A113</f>
        <v>11.4</v>
      </c>
      <c r="B109" s="624" t="s">
        <v>613</v>
      </c>
      <c r="C109" s="787" t="str">
        <f>'PLANILHA ORÇAMENTÁRIA'!D113</f>
        <v>Ponto para esgoto secundário (pia, lavatório, mictório, tanque, bidê, etc...)</v>
      </c>
      <c r="D109" s="787"/>
      <c r="E109" s="787"/>
      <c r="F109" s="787"/>
      <c r="G109" s="787"/>
      <c r="H109" s="601" t="s">
        <v>614</v>
      </c>
      <c r="I109" s="602">
        <v>7</v>
      </c>
      <c r="J109" s="611" t="s">
        <v>824</v>
      </c>
    </row>
    <row r="110" spans="1:10" ht="27" customHeight="1">
      <c r="A110" s="601" t="str">
        <f>'PLANILHA ORÇAMENTÁRIA'!A114</f>
        <v>11.5</v>
      </c>
      <c r="B110" s="624" t="s">
        <v>718</v>
      </c>
      <c r="C110" s="787" t="str">
        <f>'PLANILHA ORÇAMENTÁRIA'!D114</f>
        <v>Ponto para caixa sifonada, inclusive caixa sifonada 150x150x50 mm c/ grelha em pvc</v>
      </c>
      <c r="D110" s="787"/>
      <c r="E110" s="787"/>
      <c r="F110" s="787"/>
      <c r="G110" s="787"/>
      <c r="H110" s="601" t="s">
        <v>614</v>
      </c>
      <c r="I110" s="602">
        <v>5</v>
      </c>
      <c r="J110" s="611" t="s">
        <v>823</v>
      </c>
    </row>
    <row r="111" spans="1:10" ht="51" customHeight="1">
      <c r="A111" s="601" t="str">
        <f>'PLANILHA ORÇAMENTÁRIA'!A115</f>
        <v>11.6</v>
      </c>
      <c r="B111" s="624" t="s">
        <v>735</v>
      </c>
      <c r="C111" s="787" t="str">
        <f>'PLANILHA ORÇAMENTÁRIA'!D115</f>
        <v>Ponto de válvula de descarga, inclusive válvula de descarga de 50mm (1 1/2"), com acabamento para válvula de descarga Benefit, marca de referência Docol ou equivalente Mod. 00184906</v>
      </c>
      <c r="D111" s="787"/>
      <c r="E111" s="787"/>
      <c r="F111" s="787"/>
      <c r="G111" s="787"/>
      <c r="H111" s="601" t="s">
        <v>614</v>
      </c>
      <c r="I111" s="602">
        <v>2</v>
      </c>
      <c r="J111" s="611" t="s">
        <v>819</v>
      </c>
    </row>
    <row r="112" spans="1:10" ht="57.75" customHeight="1">
      <c r="A112" s="601" t="str">
        <f>'PLANILHA ORÇAMENTÁRIA'!A116</f>
        <v>11.7</v>
      </c>
      <c r="B112" s="601">
        <v>140714</v>
      </c>
      <c r="C112" s="787" t="str">
        <f>'PLANILHA ORÇAMENTÁRIA'!D116</f>
        <v>Ponto p/ válvula (mictório) inclusive válvula com acabamento marca de referência Pressmatic Docol, Mod. 17015106 e tubo de ligação p/mictório antivandalismo Pressmatic Mod. 00132606 marca de ref. Docol ou equivalente</v>
      </c>
      <c r="D112" s="787"/>
      <c r="E112" s="787"/>
      <c r="F112" s="787"/>
      <c r="G112" s="787"/>
      <c r="H112" s="601" t="s">
        <v>138</v>
      </c>
      <c r="I112" s="602">
        <v>1</v>
      </c>
      <c r="J112" s="611" t="s">
        <v>815</v>
      </c>
    </row>
    <row r="113" spans="1:10" ht="42.75" customHeight="1">
      <c r="A113" s="601" t="str">
        <f>'PLANILHA ORÇAMENTÁRIA'!A117</f>
        <v>11.8</v>
      </c>
      <c r="B113" s="601">
        <v>170328</v>
      </c>
      <c r="C113" s="787" t="str">
        <f>'PLANILHA ORÇAMENTÁRIA'!D117</f>
        <v>Registro de gaveta com canopla cromada, diam. 20mm (3/4"), marcas de referência Fabrimar, Deca ou Docol</v>
      </c>
      <c r="D113" s="787"/>
      <c r="E113" s="787"/>
      <c r="F113" s="787"/>
      <c r="G113" s="787"/>
      <c r="H113" s="601" t="s">
        <v>138</v>
      </c>
      <c r="I113" s="602">
        <v>6</v>
      </c>
      <c r="J113" s="611" t="s">
        <v>818</v>
      </c>
    </row>
    <row r="114" spans="1:10" ht="36.75" customHeight="1">
      <c r="A114" s="601" t="str">
        <f>'PLANILHA ORÇAMENTÁRIA'!A118</f>
        <v>11.9</v>
      </c>
      <c r="B114" s="601">
        <v>170116</v>
      </c>
      <c r="C114" s="787" t="str">
        <f>'PLANILHA ORÇAMENTÁRIA'!D118</f>
        <v>Vaso sanitário padrão popular completo com acessórios para ligação, marcas de referência Deca, Celite ou Ideal Standard, inclusive assento plástico</v>
      </c>
      <c r="D114" s="787"/>
      <c r="E114" s="787"/>
      <c r="F114" s="787"/>
      <c r="G114" s="787"/>
      <c r="H114" s="601" t="s">
        <v>138</v>
      </c>
      <c r="I114" s="602">
        <v>3</v>
      </c>
      <c r="J114" s="611" t="s">
        <v>791</v>
      </c>
    </row>
    <row r="115" spans="1:10" ht="56.25" customHeight="1">
      <c r="A115" s="601" t="str">
        <f>'PLANILHA ORÇAMENTÁRIA'!A119</f>
        <v>11.10</v>
      </c>
      <c r="B115" s="622" t="s">
        <v>690</v>
      </c>
      <c r="C115" s="787" t="str">
        <f>'PLANILHA ORÇAMENTÁRIA'!D119</f>
        <v>Vaso sanitário sifonado convencional para PCD com furo central com louça branca sem assento, incluso conjunto de ligação para bacia sanitária ajustável - Fornecimento e instalação. AF-01/2020</v>
      </c>
      <c r="D115" s="787"/>
      <c r="E115" s="787"/>
      <c r="F115" s="787"/>
      <c r="G115" s="787"/>
      <c r="H115" s="601" t="s">
        <v>138</v>
      </c>
      <c r="I115" s="602">
        <v>2</v>
      </c>
      <c r="J115" s="611" t="s">
        <v>819</v>
      </c>
    </row>
    <row r="116" spans="1:10" ht="42.75" customHeight="1">
      <c r="A116" s="601" t="str">
        <f>'PLANILHA ORÇAMENTÁRIA'!A120</f>
        <v>11.11</v>
      </c>
      <c r="B116" s="622" t="s">
        <v>697</v>
      </c>
      <c r="C116" s="787" t="str">
        <f>'PLANILHA ORÇAMENTÁRIA'!D120</f>
        <v>Lavatório de Canto ref. L101 DECA ou equivalente, inclusive válvula, sifão e engates cromados, exclusive torneira</v>
      </c>
      <c r="D116" s="787"/>
      <c r="E116" s="787"/>
      <c r="F116" s="787"/>
      <c r="G116" s="787"/>
      <c r="H116" s="601" t="s">
        <v>138</v>
      </c>
      <c r="I116" s="602">
        <v>2</v>
      </c>
      <c r="J116" s="611" t="s">
        <v>819</v>
      </c>
    </row>
    <row r="117" spans="1:10" ht="48">
      <c r="A117" s="601" t="str">
        <f>'PLANILHA ORÇAMENTÁRIA'!A121</f>
        <v>11.12</v>
      </c>
      <c r="B117" s="601">
        <v>170205</v>
      </c>
      <c r="C117" s="787" t="str">
        <f>'PLANILHA ORÇAMENTÁRIA'!D121</f>
        <v>Bancada de mármore esp. 3cm</v>
      </c>
      <c r="D117" s="787"/>
      <c r="E117" s="787"/>
      <c r="F117" s="787"/>
      <c r="G117" s="787"/>
      <c r="H117" s="621" t="s">
        <v>128</v>
      </c>
      <c r="I117" s="602">
        <v>1.89</v>
      </c>
      <c r="J117" s="611" t="s">
        <v>825</v>
      </c>
    </row>
    <row r="118" spans="1:10" ht="36.75" customHeight="1">
      <c r="A118" s="601" t="str">
        <f>'PLANILHA ORÇAMENTÁRIA'!A122</f>
        <v>11.13</v>
      </c>
      <c r="B118" s="601">
        <v>170115</v>
      </c>
      <c r="C118" s="787" t="str">
        <f>'PLANILHA ORÇAMENTÁRIA'!D122</f>
        <v>Cuba louça de embutir redonda, 30cm, L-41, completa, marcas de referência Deca, Celite ou Ideal Standard, incl. válvula e sifão, exclusive torneira</v>
      </c>
      <c r="D118" s="787"/>
      <c r="E118" s="787"/>
      <c r="F118" s="787"/>
      <c r="G118" s="787"/>
      <c r="H118" s="601" t="s">
        <v>138</v>
      </c>
      <c r="I118" s="602">
        <v>2</v>
      </c>
      <c r="J118" s="611" t="s">
        <v>819</v>
      </c>
    </row>
    <row r="119" spans="1:10" ht="37.5" customHeight="1">
      <c r="A119" s="601" t="str">
        <f>'PLANILHA ORÇAMENTÁRIA'!A123</f>
        <v>11.14</v>
      </c>
      <c r="B119" s="601">
        <v>170546</v>
      </c>
      <c r="C119" s="787" t="str">
        <f>'PLANILHA ORÇAMENTÁRIA'!D123</f>
        <v>Tanque em mármore sintético com 2 bojos, inclusive válvula e sifão em PVC</v>
      </c>
      <c r="D119" s="787"/>
      <c r="E119" s="787"/>
      <c r="F119" s="787"/>
      <c r="G119" s="787"/>
      <c r="H119" s="601" t="s">
        <v>138</v>
      </c>
      <c r="I119" s="602">
        <v>1</v>
      </c>
      <c r="J119" s="611" t="s">
        <v>815</v>
      </c>
    </row>
    <row r="120" spans="1:10" ht="34.5" customHeight="1">
      <c r="A120" s="601" t="str">
        <f>'PLANILHA ORÇAMENTÁRIA'!A124</f>
        <v>11.15</v>
      </c>
      <c r="B120" s="622" t="s">
        <v>691</v>
      </c>
      <c r="C120" s="787" t="str">
        <f>'PLANILHA ORÇAMENTÁRIA'!D124</f>
        <v>Papeleira de parede em metal cromado sem tampa, incluso fixação. AF-01/2020.</v>
      </c>
      <c r="D120" s="787"/>
      <c r="E120" s="787"/>
      <c r="F120" s="787"/>
      <c r="G120" s="787"/>
      <c r="H120" s="601" t="s">
        <v>138</v>
      </c>
      <c r="I120" s="602">
        <v>5</v>
      </c>
      <c r="J120" s="611" t="s">
        <v>823</v>
      </c>
    </row>
    <row r="121" spans="1:10" ht="33.75" customHeight="1">
      <c r="A121" s="601" t="str">
        <f>'PLANILHA ORÇAMENTÁRIA'!A125</f>
        <v>11.16</v>
      </c>
      <c r="B121" s="601">
        <v>95545</v>
      </c>
      <c r="C121" s="787" t="str">
        <f>'PLANILHA ORÇAMENTÁRIA'!D125</f>
        <v>SABONETEIRA DE PAREDE EM METAL CROMADO, INCLUSO FIXAÇÃO. AF_01/2020</v>
      </c>
      <c r="D121" s="787"/>
      <c r="E121" s="787"/>
      <c r="F121" s="787"/>
      <c r="G121" s="787"/>
      <c r="H121" s="601" t="s">
        <v>138</v>
      </c>
      <c r="I121" s="602">
        <v>4</v>
      </c>
      <c r="J121" s="611" t="s">
        <v>789</v>
      </c>
    </row>
    <row r="122" spans="1:10" ht="33" customHeight="1">
      <c r="A122" s="601" t="str">
        <f>'PLANILHA ORÇAMENTÁRIA'!A126</f>
        <v>11.17</v>
      </c>
      <c r="B122" s="622" t="s">
        <v>692</v>
      </c>
      <c r="C122" s="787" t="str">
        <f>'PLANILHA ORÇAMENTÁRIA'!D126</f>
        <v>Porta toalha rosto em metal cromado, tipo argola, incluso fixação. AF-01/2020.</v>
      </c>
      <c r="D122" s="787"/>
      <c r="E122" s="787"/>
      <c r="F122" s="787"/>
      <c r="G122" s="787"/>
      <c r="H122" s="601" t="s">
        <v>138</v>
      </c>
      <c r="I122" s="602">
        <v>5</v>
      </c>
      <c r="J122" s="611" t="s">
        <v>823</v>
      </c>
    </row>
    <row r="123" spans="1:10" ht="35.25" customHeight="1">
      <c r="A123" s="601" t="str">
        <f>'PLANILHA ORÇAMENTÁRIA'!A127</f>
        <v>11.18</v>
      </c>
      <c r="B123" s="601">
        <v>80201</v>
      </c>
      <c r="C123" s="787" t="str">
        <f>'PLANILHA ORÇAMENTÁRIA'!D127</f>
        <v>Espelho para banheiros espessura 4 mm, incluindo chapa compensada 10 mm, moldura de alumínio em perfil L 3/4", fixado com parafusos cromados</v>
      </c>
      <c r="D123" s="787"/>
      <c r="E123" s="787"/>
      <c r="F123" s="787"/>
      <c r="G123" s="787"/>
      <c r="H123" s="621" t="s">
        <v>128</v>
      </c>
      <c r="I123" s="602">
        <v>2.4</v>
      </c>
      <c r="J123" s="611" t="s">
        <v>826</v>
      </c>
    </row>
    <row r="124" spans="1:10" ht="36" customHeight="1">
      <c r="A124" s="601" t="str">
        <f>'PLANILHA ORÇAMENTÁRIA'!A128</f>
        <v>11.19</v>
      </c>
      <c r="B124" s="601">
        <v>170304</v>
      </c>
      <c r="C124" s="787" t="str">
        <f>'PLANILHA ORÇAMENTÁRIA'!D128</f>
        <v>Torneira pressão cromada diâm. 1/2" para lavatório, marcas de referência Fabrimar, Deca ou Docol</v>
      </c>
      <c r="D124" s="787"/>
      <c r="E124" s="787"/>
      <c r="F124" s="787"/>
      <c r="G124" s="787"/>
      <c r="H124" s="601" t="s">
        <v>138</v>
      </c>
      <c r="I124" s="602">
        <v>4</v>
      </c>
      <c r="J124" s="611" t="s">
        <v>789</v>
      </c>
    </row>
    <row r="125" spans="1:10" ht="43.5" customHeight="1">
      <c r="A125" s="601" t="str">
        <f>'PLANILHA ORÇAMENTÁRIA'!A129</f>
        <v>11.20</v>
      </c>
      <c r="B125" s="601">
        <v>170310</v>
      </c>
      <c r="C125" s="787" t="str">
        <f>'PLANILHA ORÇAMENTÁRIA'!D129</f>
        <v>Torneira pressão cromada diam. 3/4" para uso geral, marcas de referência Fabrimar, Deca ou Docol</v>
      </c>
      <c r="D125" s="787"/>
      <c r="E125" s="787"/>
      <c r="F125" s="787"/>
      <c r="G125" s="787"/>
      <c r="H125" s="601" t="s">
        <v>138</v>
      </c>
      <c r="I125" s="602">
        <v>1</v>
      </c>
      <c r="J125" s="611" t="s">
        <v>815</v>
      </c>
    </row>
    <row r="126" spans="1:10" ht="54" customHeight="1">
      <c r="A126" s="601" t="str">
        <f>'PLANILHA ORÇAMENTÁRIA'!A130</f>
        <v>11.21</v>
      </c>
      <c r="B126" s="601">
        <v>170512</v>
      </c>
      <c r="C126" s="787" t="str">
        <f>'PLANILHA ORÇAMENTÁRIA'!D130</f>
        <v>Cuba de aço inox n° 1(dim.460x300x150)mm, marcas de referência Franke, Strake, tramontina, inclusive válvula de metal 31/2" e sifão cromado 1 x 1/2", excl. torneira</v>
      </c>
      <c r="D126" s="787"/>
      <c r="E126" s="787"/>
      <c r="F126" s="787"/>
      <c r="G126" s="787"/>
      <c r="H126" s="623" t="s">
        <v>138</v>
      </c>
      <c r="I126" s="602">
        <v>2</v>
      </c>
      <c r="J126" s="611" t="s">
        <v>819</v>
      </c>
    </row>
    <row r="127" spans="1:10" ht="75" customHeight="1">
      <c r="A127" s="601" t="str">
        <f>'PLANILHA ORÇAMENTÁRIA'!A131</f>
        <v>11.22</v>
      </c>
      <c r="B127" s="601">
        <v>141107</v>
      </c>
      <c r="C127" s="787" t="str">
        <f>'PLANILHA ORÇAMENTÁRIA'!D131</f>
        <v>Caixa de gordura simples de alv. bloco concr.9x19x39cm, dim.80x60cm e Hmáx=1m, com tampa em concr.esp.5cm, lastro concr.esp.10cm, revestida intern. c/ chapisco e reboco impermeab, escavação, reaterro e parede interna em concr.</v>
      </c>
      <c r="D127" s="787"/>
      <c r="E127" s="787"/>
      <c r="F127" s="787"/>
      <c r="G127" s="787"/>
      <c r="H127" s="623" t="s">
        <v>138</v>
      </c>
      <c r="I127" s="602">
        <v>1</v>
      </c>
      <c r="J127" s="611" t="s">
        <v>815</v>
      </c>
    </row>
    <row r="128" spans="1:10" ht="57.75" customHeight="1">
      <c r="A128" s="601" t="str">
        <f>'PLANILHA ORÇAMENTÁRIA'!A132</f>
        <v>11.23</v>
      </c>
      <c r="B128" s="624" t="s">
        <v>720</v>
      </c>
      <c r="C128" s="787" t="str">
        <f>'PLANILHA ORÇAMENTÁRIA'!D132</f>
        <v>Caixa de passagem de alvenaria de blocos cerâmicos 10 furos 10x20x20cm, dimensão de 50x50x50cm, com revestimento interno em chapisco e reboco, tampa de concreto esp. 5cm e lastro de brita 5cm</v>
      </c>
      <c r="D128" s="787"/>
      <c r="E128" s="787"/>
      <c r="F128" s="787"/>
      <c r="G128" s="787"/>
      <c r="H128" s="623" t="s">
        <v>138</v>
      </c>
      <c r="I128" s="602">
        <v>2</v>
      </c>
      <c r="J128" s="611" t="s">
        <v>819</v>
      </c>
    </row>
    <row r="129" spans="1:10" ht="54.75" customHeight="1">
      <c r="A129" s="601" t="str">
        <f>'PLANILHA ORÇAMENTÁRIA'!A133</f>
        <v>11.24</v>
      </c>
      <c r="B129" s="624" t="s">
        <v>722</v>
      </c>
      <c r="C129" s="787" t="str">
        <f>'PLANILHA ORÇAMENTÁRIA'!D133</f>
        <v>Caixa de inspeção de alvenaria de blocos cerâmicos 10 furos 10x20x20cm dimensões de 30x30x60cm, com revestimento interno em chapisco e reboco, tampa de concreto esp.5cm e lastro de brita 5 cm</v>
      </c>
      <c r="D129" s="787"/>
      <c r="E129" s="787"/>
      <c r="F129" s="787"/>
      <c r="G129" s="787"/>
      <c r="H129" s="623" t="s">
        <v>138</v>
      </c>
      <c r="I129" s="602">
        <v>1</v>
      </c>
      <c r="J129" s="611" t="s">
        <v>815</v>
      </c>
    </row>
    <row r="130" spans="1:10" ht="62.25" customHeight="1">
      <c r="A130" s="601" t="str">
        <f>'PLANILHA ORÇAMENTÁRIA'!A134</f>
        <v>11.25</v>
      </c>
      <c r="B130" s="624" t="s">
        <v>723</v>
      </c>
      <c r="C130" s="787" t="str">
        <f>'PLANILHA ORÇAMENTÁRIA'!D134</f>
        <v>Fossa séptica de anéis pré-moldados de concreto, diâmetro 1.50 m, altura útil de 1.70m, completa, incluindo tampa c/visita de 60cm, concreto p/fundo esp.10 cm, e tubo para ligação ao filtro</v>
      </c>
      <c r="D130" s="787"/>
      <c r="E130" s="787"/>
      <c r="F130" s="787"/>
      <c r="G130" s="787"/>
      <c r="H130" s="623" t="s">
        <v>138</v>
      </c>
      <c r="I130" s="602">
        <v>1</v>
      </c>
      <c r="J130" s="611" t="s">
        <v>815</v>
      </c>
    </row>
    <row r="131" spans="1:10" ht="48.75" customHeight="1">
      <c r="A131" s="601" t="str">
        <f>'PLANILHA ORÇAMENTÁRIA'!A135</f>
        <v>11.26</v>
      </c>
      <c r="B131" s="604" t="s">
        <v>724</v>
      </c>
      <c r="C131" s="787" t="str">
        <f>'PLANILHA ORÇAMENTÁRIA'!D135</f>
        <v>Filtro anaeróbio de anéis pré-moldados de concreto, diâmetro de 1.50m, altura útil de 1.80m, completo, incl. tampa c/visita de 60 cm, concreto p/fundo esp.10cm e tubulação de saída de esgoto</v>
      </c>
      <c r="D131" s="787"/>
      <c r="E131" s="787"/>
      <c r="F131" s="787"/>
      <c r="G131" s="787"/>
      <c r="H131" s="623" t="s">
        <v>138</v>
      </c>
      <c r="I131" s="602">
        <v>1</v>
      </c>
      <c r="J131" s="611" t="s">
        <v>815</v>
      </c>
    </row>
    <row r="132" spans="1:10" ht="39.75" customHeight="1">
      <c r="A132" s="601" t="str">
        <f>'PLANILHA ORÇAMENTÁRIA'!A136</f>
        <v>11.27</v>
      </c>
      <c r="B132" s="204">
        <v>170107</v>
      </c>
      <c r="C132" s="787" t="str">
        <f>'PLANILHA ORÇAMENTÁRIA'!D136</f>
        <v>Mictório de louça branca, marcas de referência Deca, Celite ou Ideal Standard, inclusive engates cromados</v>
      </c>
      <c r="D132" s="787"/>
      <c r="E132" s="787"/>
      <c r="F132" s="787"/>
      <c r="G132" s="787"/>
      <c r="H132" s="623" t="s">
        <v>138</v>
      </c>
      <c r="I132" s="602">
        <v>1</v>
      </c>
      <c r="J132" s="611" t="s">
        <v>815</v>
      </c>
    </row>
    <row r="133" spans="1:10" ht="20.25" customHeight="1">
      <c r="A133" s="601"/>
      <c r="B133" s="604"/>
      <c r="C133" s="814"/>
      <c r="D133" s="814"/>
      <c r="E133" s="814"/>
      <c r="F133" s="814"/>
      <c r="G133" s="815"/>
      <c r="H133" s="623"/>
      <c r="I133" s="602"/>
      <c r="J133" s="611"/>
    </row>
    <row r="134" spans="1:10" ht="40.5" customHeight="1">
      <c r="A134" s="601" t="str">
        <f>'PLANILHA ORÇAMENTÁRIA'!A138</f>
        <v>12.0</v>
      </c>
      <c r="B134" s="604"/>
      <c r="C134" s="800" t="s">
        <v>737</v>
      </c>
      <c r="D134" s="800"/>
      <c r="E134" s="800"/>
      <c r="F134" s="800"/>
      <c r="G134" s="801"/>
      <c r="H134" s="647"/>
      <c r="I134" s="602"/>
      <c r="J134" s="611"/>
    </row>
    <row r="135" spans="1:10" ht="38.25" customHeight="1">
      <c r="A135" s="601" t="str">
        <f>'PLANILHA ORÇAMENTÁRIA'!A139</f>
        <v>12.1</v>
      </c>
      <c r="B135" s="604" t="s">
        <v>747</v>
      </c>
      <c r="C135" s="787" t="str">
        <f>'PLANILHA ORÇAMENTÁRIA'!D139</f>
        <v>Cordoalha de cobre nú 35 mm², não enterrada, com isolador - Fornecimento e instalação. AF-12/2017</v>
      </c>
      <c r="D135" s="787"/>
      <c r="E135" s="787"/>
      <c r="F135" s="787"/>
      <c r="G135" s="787"/>
      <c r="H135" s="621" t="s">
        <v>127</v>
      </c>
      <c r="I135" s="649">
        <v>76.77</v>
      </c>
      <c r="J135" s="611" t="s">
        <v>827</v>
      </c>
    </row>
    <row r="136" spans="1:10" ht="36.75" customHeight="1">
      <c r="A136" s="601" t="str">
        <f>'PLANILHA ORÇAMENTÁRIA'!A140</f>
        <v>12.2</v>
      </c>
      <c r="B136" s="604" t="s">
        <v>749</v>
      </c>
      <c r="C136" s="787" t="str">
        <f>'PLANILHA ORÇAMENTÁRIA'!D140</f>
        <v>Cordoalha de cobre nú 50 mm², enterrada, sem isolador - Fornecimento e instalação. AF-12/2017</v>
      </c>
      <c r="D136" s="787"/>
      <c r="E136" s="787"/>
      <c r="F136" s="787"/>
      <c r="G136" s="787"/>
      <c r="H136" s="621" t="s">
        <v>127</v>
      </c>
      <c r="I136" s="649">
        <v>49.74</v>
      </c>
      <c r="J136" s="611" t="s">
        <v>828</v>
      </c>
    </row>
    <row r="137" spans="1:10" ht="42" customHeight="1">
      <c r="A137" s="601" t="str">
        <f>'PLANILHA ORÇAMENTÁRIA'!A141</f>
        <v>12.3</v>
      </c>
      <c r="B137" s="604" t="s">
        <v>751</v>
      </c>
      <c r="C137" s="787" t="str">
        <f>'PLANILHA ORÇAMENTÁRIA'!D141</f>
        <v>Eletroduto PVC 40 mm (1 1/4") para SPDA - Fornecimento e instalação. AF-12/2017</v>
      </c>
      <c r="D137" s="787"/>
      <c r="E137" s="787"/>
      <c r="F137" s="787"/>
      <c r="G137" s="787"/>
      <c r="H137" s="601" t="s">
        <v>138</v>
      </c>
      <c r="I137" s="649">
        <v>5</v>
      </c>
      <c r="J137" s="611" t="s">
        <v>829</v>
      </c>
    </row>
    <row r="138" spans="1:10" ht="31.5" customHeight="1">
      <c r="A138" s="601" t="str">
        <f>'PLANILHA ORÇAMENTÁRIA'!A142</f>
        <v>12.4</v>
      </c>
      <c r="B138" s="604" t="s">
        <v>752</v>
      </c>
      <c r="C138" s="787" t="str">
        <f>'PLANILHA ORÇAMENTÁRIA'!D142</f>
        <v>Haste de aterramento 5/8" para SPDA - Fornecimento  e instalação. AF- 12/2017</v>
      </c>
      <c r="D138" s="787"/>
      <c r="E138" s="787"/>
      <c r="F138" s="787"/>
      <c r="G138" s="787"/>
      <c r="H138" s="601" t="s">
        <v>138</v>
      </c>
      <c r="I138" s="649">
        <v>5</v>
      </c>
      <c r="J138" s="611" t="s">
        <v>830</v>
      </c>
    </row>
    <row r="139" spans="1:10" ht="48.75" customHeight="1">
      <c r="A139" s="601" t="str">
        <f>'PLANILHA ORÇAMENTÁRIA'!A143</f>
        <v>12.5</v>
      </c>
      <c r="B139" s="604" t="s">
        <v>740</v>
      </c>
      <c r="C139" s="787" t="str">
        <f>'PLANILHA ORÇAMENTÁRIA'!D143</f>
        <v>Caixa de inspeção em PVC, diâmetro 300 mm, ref TEL-552, marca de referência Termotécnica ou equivalente, inclusive escavação e reaterro</v>
      </c>
      <c r="D139" s="787"/>
      <c r="E139" s="787"/>
      <c r="F139" s="787"/>
      <c r="G139" s="787"/>
      <c r="H139" s="601" t="s">
        <v>138</v>
      </c>
      <c r="I139" s="649">
        <v>5</v>
      </c>
      <c r="J139" s="611" t="s">
        <v>830</v>
      </c>
    </row>
    <row r="140" spans="1:10" ht="23.25" customHeight="1">
      <c r="A140" s="601" t="str">
        <f>'PLANILHA ORÇAMENTÁRIA'!A144</f>
        <v>12.6</v>
      </c>
      <c r="B140" s="604" t="s">
        <v>741</v>
      </c>
      <c r="C140" s="787" t="str">
        <f>'PLANILHA ORÇAMENTÁRIA'!D144</f>
        <v>Conector de medição em latão com 2 parafusos para cabos de 16 a 50 mm2, ref. TEL-562, Termotécnica ou equivalente</v>
      </c>
      <c r="D140" s="787"/>
      <c r="E140" s="787"/>
      <c r="F140" s="787"/>
      <c r="G140" s="787"/>
      <c r="H140" s="601" t="s">
        <v>138</v>
      </c>
      <c r="I140" s="649">
        <v>5</v>
      </c>
      <c r="J140" s="611" t="s">
        <v>830</v>
      </c>
    </row>
    <row r="141" spans="1:10" ht="17.25" customHeight="1">
      <c r="A141" s="601"/>
      <c r="B141" s="604"/>
      <c r="C141" s="814"/>
      <c r="D141" s="814"/>
      <c r="E141" s="814"/>
      <c r="F141" s="814"/>
      <c r="G141" s="815"/>
      <c r="H141" s="623"/>
      <c r="I141" s="602"/>
      <c r="J141" s="611"/>
    </row>
    <row r="142" spans="1:10" ht="33.75" customHeight="1">
      <c r="A142" s="601" t="str">
        <f>'PLANILHA ORÇAMENTÁRIA'!A146</f>
        <v>13.0</v>
      </c>
      <c r="B142" s="604"/>
      <c r="C142" s="799" t="s">
        <v>831</v>
      </c>
      <c r="D142" s="800"/>
      <c r="E142" s="800"/>
      <c r="F142" s="800"/>
      <c r="G142" s="801"/>
      <c r="H142" s="623"/>
      <c r="I142" s="602"/>
      <c r="J142" s="611"/>
    </row>
    <row r="143" spans="1:10" ht="51" customHeight="1">
      <c r="A143" s="601" t="str">
        <f>'PLANILHA ORÇAMENTÁRIA'!A147</f>
        <v>13.1</v>
      </c>
      <c r="B143" s="601">
        <v>160111</v>
      </c>
      <c r="C143" s="787" t="str">
        <f>'PLANILHA ORÇAMENTÁRIA'!D147</f>
        <v>Caixa para telefone padrão TELEMAR, dim. 1070 x 520 x 500 mm, com tampa de ferro tipo R2, assentada com argamassa de cimento, cal e areia</v>
      </c>
      <c r="D143" s="787"/>
      <c r="E143" s="787"/>
      <c r="F143" s="787"/>
      <c r="G143" s="787"/>
      <c r="H143" s="601" t="s">
        <v>138</v>
      </c>
      <c r="I143" s="643">
        <v>1</v>
      </c>
      <c r="J143" s="611" t="s">
        <v>832</v>
      </c>
    </row>
    <row r="144" spans="1:10" ht="47.25" customHeight="1">
      <c r="A144" s="601" t="str">
        <f>'PLANILHA ORÇAMENTÁRIA'!A148</f>
        <v>13.2</v>
      </c>
      <c r="B144" s="601">
        <v>101799</v>
      </c>
      <c r="C144" s="787" t="str">
        <f>'PLANILHA ORÇAMENTÁRIA'!D148</f>
        <v>TAMPA PARA CAIXA TIPO R2 E R3, EM FERRO FUNDIDO, DIMENSÕES INTERNAS: 0,55 X 1,10 M - FORNECIMENTO E INSTALAÇÃO. AF_12/2020</v>
      </c>
      <c r="D144" s="787"/>
      <c r="E144" s="787"/>
      <c r="F144" s="787"/>
      <c r="G144" s="787"/>
      <c r="H144" s="601" t="s">
        <v>138</v>
      </c>
      <c r="I144" s="643">
        <v>1</v>
      </c>
      <c r="J144" s="611" t="s">
        <v>815</v>
      </c>
    </row>
    <row r="145" spans="1:10" ht="53.25" customHeight="1">
      <c r="A145" s="601" t="str">
        <f>'PLANILHA ORÇAMENTÁRIA'!A149</f>
        <v>13.3</v>
      </c>
      <c r="B145" s="601">
        <v>100561</v>
      </c>
      <c r="C145" s="787" t="str">
        <f>'PLANILHA ORÇAMENTÁRIA'!D149</f>
        <v>QUADRO DE DISTRIBUICAO PARA TELEFONE N.3, 40X40X12CM EM CHAPA METALICA , DE EMBUTIR, SEM ACESSORIOS, PADRAO TELEBRAS, FORNECIMENTO E INSTALAÇ ÃO. AF_11/2019</v>
      </c>
      <c r="D145" s="787"/>
      <c r="E145" s="787"/>
      <c r="F145" s="787"/>
      <c r="G145" s="787"/>
      <c r="H145" s="601" t="s">
        <v>138</v>
      </c>
      <c r="I145" s="643">
        <v>1</v>
      </c>
      <c r="J145" s="611" t="s">
        <v>832</v>
      </c>
    </row>
    <row r="146" spans="1:10" ht="45.75" customHeight="1">
      <c r="A146" s="601" t="str">
        <f>'PLANILHA ORÇAMENTÁRIA'!A150</f>
        <v>13.4</v>
      </c>
      <c r="B146" s="601">
        <v>151127</v>
      </c>
      <c r="C146" s="787" t="str">
        <f>'PLANILHA ORÇAMENTÁRIA'!D150</f>
        <v>Eletroduto de PVC rígido roscável, diâm. 1" (32mm), inclusive conexões</v>
      </c>
      <c r="D146" s="787"/>
      <c r="E146" s="787"/>
      <c r="F146" s="787"/>
      <c r="G146" s="787"/>
      <c r="H146" s="601" t="s">
        <v>127</v>
      </c>
      <c r="I146" s="643">
        <v>60</v>
      </c>
      <c r="J146" s="611" t="s">
        <v>833</v>
      </c>
    </row>
    <row r="147" spans="1:10" ht="55.5" customHeight="1">
      <c r="A147" s="601" t="str">
        <f>'PLANILHA ORÇAMENTÁRIA'!A151</f>
        <v>13.5</v>
      </c>
      <c r="B147" s="650" t="s">
        <v>765</v>
      </c>
      <c r="C147" s="787" t="str">
        <f>'PLANILHA ORÇAMENTÁRIA'!D151</f>
        <v>Eletroduto rígido roscável, PVC, DN 75 mm (2 1/2") - Fornecimento e instalação. AF_12/2015</v>
      </c>
      <c r="D147" s="787"/>
      <c r="E147" s="787"/>
      <c r="F147" s="787"/>
      <c r="G147" s="787"/>
      <c r="H147" s="601" t="s">
        <v>127</v>
      </c>
      <c r="I147" s="643">
        <v>27.8</v>
      </c>
      <c r="J147" s="611" t="s">
        <v>834</v>
      </c>
    </row>
    <row r="148" spans="1:10" ht="50.25" customHeight="1">
      <c r="A148" s="601" t="str">
        <f>'PLANILHA ORÇAMENTÁRIA'!A152</f>
        <v>13.6</v>
      </c>
      <c r="B148" s="650" t="s">
        <v>761</v>
      </c>
      <c r="C148" s="787" t="str">
        <f>'PLANILHA ORÇAMENTÁRIA'!D152</f>
        <v>Caixa retangular 4" x 2" alta (2,00 m do piso), PVC, instalada em parede - Fornecimento e instalação. AF_12/2015</v>
      </c>
      <c r="D148" s="787"/>
      <c r="E148" s="787"/>
      <c r="F148" s="787"/>
      <c r="G148" s="787"/>
      <c r="H148" s="601" t="s">
        <v>138</v>
      </c>
      <c r="I148" s="643">
        <v>1</v>
      </c>
      <c r="J148" s="611" t="s">
        <v>832</v>
      </c>
    </row>
    <row r="149" spans="1:10" ht="49.5" customHeight="1">
      <c r="A149" s="601" t="str">
        <f>'PLANILHA ORÇAMENTÁRIA'!A153</f>
        <v>13.7</v>
      </c>
      <c r="B149" s="604" t="s">
        <v>760</v>
      </c>
      <c r="C149" s="787" t="str">
        <f>'PLANILHA ORÇAMENTÁRIA'!D153</f>
        <v>Caixa retangular 4" x 2" baixa (0,30 m do piso), PVC, instalada em parede - Fornecimento e instalação. AF_12/2015</v>
      </c>
      <c r="D149" s="787"/>
      <c r="E149" s="787"/>
      <c r="F149" s="787"/>
      <c r="G149" s="787"/>
      <c r="H149" s="601" t="s">
        <v>138</v>
      </c>
      <c r="I149" s="643">
        <v>7</v>
      </c>
      <c r="J149" s="611" t="s">
        <v>835</v>
      </c>
    </row>
    <row r="150" spans="1:10" ht="39" customHeight="1">
      <c r="A150" s="601" t="str">
        <f>'PLANILHA ORÇAMENTÁRIA'!A154</f>
        <v>13.8</v>
      </c>
      <c r="B150" s="604" t="s">
        <v>764</v>
      </c>
      <c r="C150" s="787" t="str">
        <f>'PLANILHA ORÇAMENTÁRIA'!D154</f>
        <v>Rack de 19" para parede 12 U x 470 mm com porta frontal acrílica - fornecimento e instalação.</v>
      </c>
      <c r="D150" s="787"/>
      <c r="E150" s="787"/>
      <c r="F150" s="787"/>
      <c r="G150" s="787"/>
      <c r="H150" s="601" t="s">
        <v>138</v>
      </c>
      <c r="I150" s="643">
        <v>1</v>
      </c>
      <c r="J150" s="611" t="s">
        <v>832</v>
      </c>
    </row>
    <row r="151" spans="1:10" ht="22.5" customHeight="1">
      <c r="A151" s="601" t="str">
        <f>'PLANILHA ORÇAMENTÁRIA'!A155</f>
        <v>13.9</v>
      </c>
      <c r="B151" s="604" t="s">
        <v>756</v>
      </c>
      <c r="C151" s="787" t="str">
        <f>'PLANILHA ORÇAMENTÁRIA'!D155</f>
        <v>Patch painel 24 portas, categoria 6 - Fornecimento e instalação. AF-03/2018</v>
      </c>
      <c r="D151" s="787"/>
      <c r="E151" s="787"/>
      <c r="F151" s="787"/>
      <c r="G151" s="787"/>
      <c r="H151" s="601" t="s">
        <v>138</v>
      </c>
      <c r="I151" s="643">
        <v>2</v>
      </c>
      <c r="J151" s="611" t="s">
        <v>788</v>
      </c>
    </row>
    <row r="152" spans="1:10" ht="25.5" customHeight="1">
      <c r="A152" s="601" t="str">
        <f>'PLANILHA ORÇAMENTÁRIA'!A156</f>
        <v>13.10</v>
      </c>
      <c r="B152" s="604" t="s">
        <v>770</v>
      </c>
      <c r="C152" s="787" t="str">
        <f>'PLANILHA ORÇAMENTÁRIA'!D156</f>
        <v>Patch painel 48 portas, categoria 6 - Fornecimento e instalação. AF-03/2018</v>
      </c>
      <c r="D152" s="787"/>
      <c r="E152" s="787"/>
      <c r="F152" s="787"/>
      <c r="G152" s="787"/>
      <c r="H152" s="601" t="s">
        <v>138</v>
      </c>
      <c r="I152" s="643">
        <v>1</v>
      </c>
      <c r="J152" s="611" t="s">
        <v>832</v>
      </c>
    </row>
    <row r="153" spans="1:10" ht="22.5" customHeight="1">
      <c r="A153" s="601" t="str">
        <f>'PLANILHA ORÇAMENTÁRIA'!A157</f>
        <v>13.11</v>
      </c>
      <c r="B153" s="604" t="s">
        <v>769</v>
      </c>
      <c r="C153" s="787" t="str">
        <f>'PLANILHA ORÇAMENTÁRIA'!D157</f>
        <v>Tomada de rede RJ45 - Fornecimento e instalação . AF-03/2018</v>
      </c>
      <c r="D153" s="787"/>
      <c r="E153" s="787"/>
      <c r="F153" s="787"/>
      <c r="G153" s="787"/>
      <c r="H153" s="601" t="s">
        <v>138</v>
      </c>
      <c r="I153" s="643">
        <v>15</v>
      </c>
      <c r="J153" s="611" t="s">
        <v>836</v>
      </c>
    </row>
    <row r="154" spans="1:10" ht="22.5" customHeight="1">
      <c r="A154" s="601" t="str">
        <f>'PLANILHA ORÇAMENTÁRIA'!A158</f>
        <v>13.12</v>
      </c>
      <c r="B154" s="604" t="s">
        <v>754</v>
      </c>
      <c r="C154" s="787" t="str">
        <f>'PLANILHA ORÇAMENTÁRIA'!D158</f>
        <v>Cabo eletrônico categoria 5E, instalado em edificação institucional - Fornecimento e instalação. AF_03/2018</v>
      </c>
      <c r="D154" s="787"/>
      <c r="E154" s="787"/>
      <c r="F154" s="787"/>
      <c r="G154" s="787"/>
      <c r="H154" s="621" t="s">
        <v>127</v>
      </c>
      <c r="I154" s="643">
        <v>900</v>
      </c>
      <c r="J154" s="611" t="s">
        <v>837</v>
      </c>
    </row>
    <row r="155" spans="1:10" ht="25.5" customHeight="1">
      <c r="A155" s="601"/>
      <c r="B155" s="604"/>
      <c r="C155" s="813"/>
      <c r="D155" s="814"/>
      <c r="E155" s="814"/>
      <c r="F155" s="814"/>
      <c r="G155" s="815"/>
      <c r="H155" s="601"/>
      <c r="I155" s="602"/>
      <c r="J155" s="617"/>
    </row>
    <row r="156" spans="1:10" ht="31.5" customHeight="1">
      <c r="A156" s="601" t="str">
        <f>'PLANILHA ORÇAMENTÁRIA'!A160</f>
        <v>14.0</v>
      </c>
      <c r="B156" s="603"/>
      <c r="C156" s="812" t="s">
        <v>89</v>
      </c>
      <c r="D156" s="812"/>
      <c r="E156" s="812"/>
      <c r="F156" s="812"/>
      <c r="G156" s="812"/>
      <c r="H156" s="601"/>
      <c r="I156" s="602"/>
      <c r="J156" s="611"/>
    </row>
    <row r="157" spans="1:10" ht="318" customHeight="1">
      <c r="A157" s="601" t="str">
        <f>'PLANILHA ORÇAMENTÁRIA'!A161</f>
        <v>14.1</v>
      </c>
      <c r="B157" s="601">
        <v>190103</v>
      </c>
      <c r="C157" s="788" t="str">
        <f>'PLANILHA ORÇAMENTÁRIA'!D161</f>
        <v>Emassamento de paredes e forros, com duas demãos de massa acrílica, marcas de referência Suvinil, Coral ou Metalatex</v>
      </c>
      <c r="D157" s="789"/>
      <c r="E157" s="789"/>
      <c r="F157" s="789"/>
      <c r="G157" s="790"/>
      <c r="H157" s="601" t="s">
        <v>128</v>
      </c>
      <c r="I157" s="602">
        <v>497.25</v>
      </c>
      <c r="J157" s="628" t="s">
        <v>935</v>
      </c>
    </row>
    <row r="158" spans="1:10" ht="70.5" customHeight="1">
      <c r="A158" s="601" t="str">
        <f>'PLANILHA ORÇAMENTÁRIA'!A162</f>
        <v>14.2</v>
      </c>
      <c r="B158" s="601">
        <v>190104</v>
      </c>
      <c r="C158" s="788" t="str">
        <f>'PLANILHA ORÇAMENTÁRIA'!D162</f>
        <v>Pintura com tinta látex PVA, marcas de referência Suvinil, Coral ou Metalatex, inclusive selador em paredes e forros, a três demãos</v>
      </c>
      <c r="D158" s="789"/>
      <c r="E158" s="789"/>
      <c r="F158" s="789"/>
      <c r="G158" s="790"/>
      <c r="H158" s="601" t="s">
        <v>128</v>
      </c>
      <c r="I158" s="602">
        <v>196.51</v>
      </c>
      <c r="J158" s="642" t="s">
        <v>811</v>
      </c>
    </row>
    <row r="159" spans="1:10" ht="87" customHeight="1">
      <c r="A159" s="601" t="str">
        <f>'PLANILHA ORÇAMENTÁRIA'!A163</f>
        <v>14.3</v>
      </c>
      <c r="B159" s="601">
        <v>190106</v>
      </c>
      <c r="C159" s="788" t="str">
        <f>'PLANILHA ORÇAMENTÁRIA'!D163</f>
        <v>Pintura com tinta acrílica, marcas de referência Suvinil, Coral ou Metalatex, inclusive selador acrílico, em paredes e forros, a três demãos</v>
      </c>
      <c r="D159" s="789"/>
      <c r="E159" s="789"/>
      <c r="F159" s="789"/>
      <c r="G159" s="790"/>
      <c r="H159" s="601" t="s">
        <v>128</v>
      </c>
      <c r="I159" s="602">
        <v>690.54</v>
      </c>
      <c r="J159" s="641" t="s">
        <v>838</v>
      </c>
    </row>
    <row r="160" spans="1:10" ht="69.75" customHeight="1">
      <c r="A160" s="601" t="str">
        <f>'PLANILHA ORÇAMENTÁRIA'!A164</f>
        <v>14.4</v>
      </c>
      <c r="B160" s="601">
        <v>190302</v>
      </c>
      <c r="C160" s="788" t="str">
        <f>'PLANILHA ORÇAMENTÁRIA'!D164</f>
        <v>Pintura com tinta esmalte sintético, marcas de referência Suvinil, Coral ou Metalatex, inclusive fundo branco nivelador, em madeira, a duas demãos</v>
      </c>
      <c r="D160" s="789"/>
      <c r="E160" s="789"/>
      <c r="F160" s="789"/>
      <c r="G160" s="790"/>
      <c r="H160" s="601" t="s">
        <v>128</v>
      </c>
      <c r="I160" s="602">
        <v>99.36</v>
      </c>
      <c r="J160" s="611" t="s">
        <v>839</v>
      </c>
    </row>
    <row r="161" spans="1:10" ht="81.75" customHeight="1">
      <c r="A161" s="601" t="str">
        <f>'PLANILHA ORÇAMENTÁRIA'!A165</f>
        <v>14.5</v>
      </c>
      <c r="B161" s="601">
        <v>190417</v>
      </c>
      <c r="C161" s="788" t="str">
        <f>'PLANILHA ORÇAMENTÁRIA'!D165</f>
        <v>Pintura com tinta esmalte sintético, marcas de referência Suvinil, Coral ou Metalatex, a duas demãos, inclusive fundo anticorrosivo a uma demão, em metal</v>
      </c>
      <c r="D161" s="789"/>
      <c r="E161" s="789"/>
      <c r="F161" s="789"/>
      <c r="G161" s="790"/>
      <c r="H161" s="601" t="s">
        <v>128</v>
      </c>
      <c r="I161" s="602">
        <v>10.61</v>
      </c>
      <c r="J161" s="611" t="s">
        <v>840</v>
      </c>
    </row>
    <row r="162" spans="1:10" ht="27.75" customHeight="1">
      <c r="A162" s="601"/>
      <c r="B162" s="604"/>
      <c r="C162" s="813"/>
      <c r="D162" s="814"/>
      <c r="E162" s="814"/>
      <c r="F162" s="814"/>
      <c r="G162" s="815"/>
      <c r="H162" s="601"/>
      <c r="I162" s="602"/>
      <c r="J162" s="625"/>
    </row>
    <row r="163" spans="1:10" ht="24.75" customHeight="1">
      <c r="A163" s="601" t="str">
        <f>'PLANILHA ORÇAMENTÁRIA'!A167</f>
        <v>15.0</v>
      </c>
      <c r="B163" s="603"/>
      <c r="C163" s="799" t="s">
        <v>671</v>
      </c>
      <c r="D163" s="800"/>
      <c r="E163" s="800"/>
      <c r="F163" s="800"/>
      <c r="G163" s="801"/>
      <c r="H163" s="601"/>
      <c r="I163" s="602"/>
      <c r="J163" s="625"/>
    </row>
    <row r="164" spans="1:10" ht="32.25" customHeight="1">
      <c r="A164" s="601" t="str">
        <f>'PLANILHA ORÇAMENTÁRIA'!A168</f>
        <v>15.1</v>
      </c>
      <c r="B164" s="601">
        <f>'PLANILHA ORÇAMENTÁRIA'!C168</f>
        <v>200303</v>
      </c>
      <c r="C164" s="788" t="str">
        <f>'PLANILHA ORÇAMENTÁRIA'!D168</f>
        <v>Fornecimento de grama tipo esmeralda em placas com espessura de 0.06 m, exclusive plantio</v>
      </c>
      <c r="D164" s="789"/>
      <c r="E164" s="789"/>
      <c r="F164" s="789"/>
      <c r="G164" s="790"/>
      <c r="H164" s="601" t="str">
        <f>'PLANILHA ORÇAMENTÁRIA'!E168</f>
        <v>m²</v>
      </c>
      <c r="I164" s="602">
        <v>119.78</v>
      </c>
      <c r="J164" s="611" t="s">
        <v>841</v>
      </c>
    </row>
    <row r="165" spans="1:10" ht="39.75" customHeight="1">
      <c r="A165" s="601" t="s">
        <v>745</v>
      </c>
      <c r="B165" s="601">
        <f>'PLANILHA ORÇAMENTÁRIA'!C169</f>
        <v>210304</v>
      </c>
      <c r="C165" s="788" t="str">
        <f>'PLANILHA ORÇAMENTÁRIA'!D169</f>
        <v>Banco de concreto armado aparente Fck=15 MPa, com apoios de concreto, largura de 45cm, espessura de 7cm e altura de 45cm</v>
      </c>
      <c r="D165" s="789"/>
      <c r="E165" s="789"/>
      <c r="F165" s="789"/>
      <c r="G165" s="790"/>
      <c r="H165" s="601" t="str">
        <f>'PLANILHA ORÇAMENTÁRIA'!E169</f>
        <v>M</v>
      </c>
      <c r="I165" s="602">
        <v>9</v>
      </c>
      <c r="J165" s="611" t="s">
        <v>1122</v>
      </c>
    </row>
    <row r="166" spans="1:10" ht="39.75" customHeight="1">
      <c r="A166" s="601" t="s">
        <v>1114</v>
      </c>
      <c r="B166" s="601">
        <f>'PLANILHA ORÇAMENTÁRIA'!C170</f>
        <v>200576</v>
      </c>
      <c r="C166" s="788" t="str">
        <f>'PLANILHA ORÇAMENTÁRIA'!D170</f>
        <v>Placa para inauguração de obra em alumínio polido e=4mm, dimensões 40 x 50 cm, gravação em baixo
relevo, inclusive pintura e fixação</v>
      </c>
      <c r="D166" s="789"/>
      <c r="E166" s="789"/>
      <c r="F166" s="789"/>
      <c r="G166" s="790"/>
      <c r="H166" s="601" t="str">
        <f>'PLANILHA ORÇAMENTÁRIA'!E170</f>
        <v>UND</v>
      </c>
      <c r="I166" s="602">
        <v>1</v>
      </c>
      <c r="J166" s="611" t="s">
        <v>1121</v>
      </c>
    </row>
    <row r="167" spans="1:10" ht="22.5" customHeight="1">
      <c r="A167" s="601" t="s">
        <v>1120</v>
      </c>
      <c r="B167" s="601">
        <f>'PLANILHA ORÇAMENTÁRIA'!C171</f>
        <v>210301</v>
      </c>
      <c r="C167" s="788" t="str">
        <f>'PLANILHA ORÇAMENTÁRIA'!D171</f>
        <v>Guarda corpo de tubo de ferro galvanizado, diâm. 3" e 2", h=0.8 m inclusive pintura a óleo ou esmalte</v>
      </c>
      <c r="D167" s="789"/>
      <c r="E167" s="789"/>
      <c r="F167" s="789"/>
      <c r="G167" s="790"/>
      <c r="H167" s="601" t="str">
        <f>'PLANILHA ORÇAMENTÁRIA'!E171</f>
        <v>m</v>
      </c>
      <c r="I167" s="602">
        <v>5</v>
      </c>
      <c r="J167" s="611" t="s">
        <v>905</v>
      </c>
    </row>
    <row r="168" spans="1:10" ht="16.5" customHeight="1">
      <c r="A168" s="601"/>
      <c r="B168" s="604"/>
      <c r="C168" s="791"/>
      <c r="D168" s="792"/>
      <c r="E168" s="792"/>
      <c r="F168" s="792"/>
      <c r="G168" s="793"/>
      <c r="H168" s="601"/>
      <c r="I168" s="602"/>
      <c r="J168" s="611"/>
    </row>
    <row r="169" spans="1:10" ht="16.5" customHeight="1">
      <c r="A169" s="601">
        <f>'PLANILHA ORÇAMENTÁRIA'!A173</f>
        <v>16</v>
      </c>
      <c r="B169" s="603"/>
      <c r="C169" s="799" t="str">
        <f>'PLANILHA ORÇAMENTÁRIA'!D173</f>
        <v>SERVIÇOS COMPLEMENTARES EXTERNOS</v>
      </c>
      <c r="D169" s="800"/>
      <c r="E169" s="800"/>
      <c r="F169" s="800"/>
      <c r="G169" s="801"/>
      <c r="H169" s="601"/>
      <c r="I169" s="602"/>
      <c r="J169" s="625"/>
    </row>
    <row r="170" spans="1:10" ht="73.5" customHeight="1">
      <c r="A170" s="601" t="s">
        <v>667</v>
      </c>
      <c r="B170" s="683">
        <v>200124</v>
      </c>
      <c r="C170" s="796" t="str">
        <f>'PLANILHA ORÇAMENTÁRIA'!D174</f>
        <v>Muro de alvenaria de blocos cerâmicos 10x20x20cm, c/ pilares a cada 2 m, esp. 10cm e h=2.5m, revestido com chapisco, reboco e pintura acrílica a 2 demãos, incl. pilares, cintas e sapatas, empregando arg. cimento cal e areia</v>
      </c>
      <c r="D170" s="797"/>
      <c r="E170" s="797"/>
      <c r="F170" s="797"/>
      <c r="G170" s="798"/>
      <c r="H170" s="601" t="str">
        <f>'PLANILHA ORÇAMENTÁRIA'!E174</f>
        <v>m</v>
      </c>
      <c r="I170" s="602">
        <v>59.97</v>
      </c>
      <c r="J170" s="611" t="s">
        <v>1119</v>
      </c>
    </row>
    <row r="171" spans="1:10" ht="45.75" customHeight="1">
      <c r="A171" s="601" t="s">
        <v>1096</v>
      </c>
      <c r="B171" s="683">
        <v>200130</v>
      </c>
      <c r="C171" s="796" t="str">
        <f>'PLANILHA ORÇAMENTÁRIA'!D175</f>
        <v>Gradil H = 1.90m padrão SEDU em tubo de FG 31/2" e barra chata de 2"x1/4" para fixação sobre mureta conforme projeto, exclusive a mureta</v>
      </c>
      <c r="D171" s="797"/>
      <c r="E171" s="797"/>
      <c r="F171" s="797"/>
      <c r="G171" s="798"/>
      <c r="H171" s="601" t="str">
        <f>'PLANILHA ORÇAMENTÁRIA'!E175</f>
        <v>m</v>
      </c>
      <c r="I171" s="602">
        <v>32.21</v>
      </c>
      <c r="J171" s="611" t="s">
        <v>1101</v>
      </c>
    </row>
    <row r="172" spans="1:10" ht="42.75" customHeight="1">
      <c r="A172" s="601" t="s">
        <v>1097</v>
      </c>
      <c r="B172" s="683">
        <v>200202</v>
      </c>
      <c r="C172" s="796" t="str">
        <f>'PLANILHA ORÇAMENTÁRIA'!D176</f>
        <v>Meio-fio de concreto pré-moldado com dimensões de 15x12x30x100 cm , rejuntados com argamassa de cimento e areia no traço 1:3</v>
      </c>
      <c r="D172" s="797"/>
      <c r="E172" s="797"/>
      <c r="F172" s="797"/>
      <c r="G172" s="798"/>
      <c r="H172" s="601" t="str">
        <f>'PLANILHA ORÇAMENTÁRIA'!E176</f>
        <v>m</v>
      </c>
      <c r="I172" s="602">
        <v>249.08</v>
      </c>
      <c r="J172" s="611" t="s">
        <v>1105</v>
      </c>
    </row>
    <row r="173" spans="1:10" ht="63" customHeight="1">
      <c r="A173" s="601" t="s">
        <v>1098</v>
      </c>
      <c r="B173" s="683">
        <v>200206</v>
      </c>
      <c r="C173" s="796" t="str">
        <f>'PLANILHA ORÇAMENTÁRIA'!D177</f>
        <v>Blocos pré-moldados de concreto tipo pavi-s ou equivalente, espessura de 8 cm e resistência a compressão mínima de 35MPa, assentados sobre colchão de pó de pedra na espessura de 10 cm</v>
      </c>
      <c r="D173" s="797"/>
      <c r="E173" s="797"/>
      <c r="F173" s="797"/>
      <c r="G173" s="798"/>
      <c r="H173" s="601" t="str">
        <f>'PLANILHA ORÇAMENTÁRIA'!E177</f>
        <v>m²</v>
      </c>
      <c r="I173" s="602">
        <v>662.08</v>
      </c>
      <c r="J173" s="611" t="s">
        <v>1102</v>
      </c>
    </row>
    <row r="174" spans="1:10" ht="62.25" customHeight="1">
      <c r="A174" s="601" t="s">
        <v>1099</v>
      </c>
      <c r="B174" s="683">
        <v>200209</v>
      </c>
      <c r="C174" s="796" t="str">
        <f>'PLANILHA ORÇAMENTÁRIA'!D178</f>
        <v>Passeio de cimentado camurçado com argamassa de cimento e areia no traço 1:3 esp. 1.5cm, e lastro de concreto com 8cm de espessura, inclusive preparo de caixa</v>
      </c>
      <c r="D174" s="797"/>
      <c r="E174" s="797"/>
      <c r="F174" s="797"/>
      <c r="G174" s="798"/>
      <c r="H174" s="601" t="str">
        <f>'PLANILHA ORÇAMENTÁRIA'!E178</f>
        <v>m²</v>
      </c>
      <c r="I174" s="602">
        <v>198.08</v>
      </c>
      <c r="J174" s="611" t="s">
        <v>1103</v>
      </c>
    </row>
    <row r="175" spans="1:10" ht="51" customHeight="1">
      <c r="A175" s="601" t="s">
        <v>1100</v>
      </c>
      <c r="B175" s="683">
        <v>200253</v>
      </c>
      <c r="C175" s="796" t="str">
        <f>'PLANILHA ORÇAMENTÁRIA'!D179</f>
        <v>Fornecimento e assentamento de ladrilho hidráulico pastilhado, vermelho, dim. 20x20 cm, esp. 1.5cm, assentado com pasta de cimento colante, exclusive regularização e lastro</v>
      </c>
      <c r="D175" s="797"/>
      <c r="E175" s="797"/>
      <c r="F175" s="797"/>
      <c r="G175" s="798"/>
      <c r="H175" s="601" t="str">
        <f>'PLANILHA ORÇAMENTÁRIA'!E179</f>
        <v>m²</v>
      </c>
      <c r="I175" s="602">
        <v>22.01</v>
      </c>
      <c r="J175" s="611" t="s">
        <v>1104</v>
      </c>
    </row>
    <row r="176" spans="1:10" ht="16.5" customHeight="1">
      <c r="A176" s="601"/>
      <c r="B176" s="604"/>
      <c r="C176" s="802"/>
      <c r="D176" s="803"/>
      <c r="E176" s="803"/>
      <c r="F176" s="803"/>
      <c r="G176" s="804"/>
      <c r="H176" s="601"/>
      <c r="I176" s="602"/>
      <c r="J176" s="611"/>
    </row>
    <row r="177" spans="1:10" ht="30.75" customHeight="1">
      <c r="A177" s="601">
        <f>'PLANILHA ORÇAMENTÁRIA'!A181</f>
        <v>17</v>
      </c>
      <c r="B177" s="603"/>
      <c r="C177" s="812" t="s">
        <v>842</v>
      </c>
      <c r="D177" s="812"/>
      <c r="E177" s="812"/>
      <c r="F177" s="812"/>
      <c r="G177" s="812"/>
      <c r="H177" s="601"/>
      <c r="I177" s="602"/>
      <c r="J177" s="611"/>
    </row>
    <row r="178" spans="1:10" ht="27" customHeight="1">
      <c r="A178" s="601" t="str">
        <f>'PLANILHA ORÇAMENTÁRIA'!A182</f>
        <v>17.1</v>
      </c>
      <c r="B178" s="601">
        <v>200401</v>
      </c>
      <c r="C178" s="787" t="str">
        <f>'PLANILHA ORÇAMENTÁRIA'!D182</f>
        <v>Limpeza geral da obra (edificação)</v>
      </c>
      <c r="D178" s="787"/>
      <c r="E178" s="787"/>
      <c r="F178" s="787"/>
      <c r="G178" s="787"/>
      <c r="H178" s="601" t="s">
        <v>128</v>
      </c>
      <c r="I178" s="602">
        <v>220.89</v>
      </c>
      <c r="J178" s="611" t="s">
        <v>843</v>
      </c>
    </row>
    <row r="179" spans="1:10" ht="18.75" customHeight="1">
      <c r="A179" s="601"/>
      <c r="B179" s="604"/>
      <c r="C179" s="813"/>
      <c r="D179" s="814"/>
      <c r="E179" s="814"/>
      <c r="F179" s="814"/>
      <c r="G179" s="815"/>
      <c r="H179" s="601"/>
      <c r="I179" s="602"/>
      <c r="J179" s="611"/>
    </row>
    <row r="180" spans="1:10" ht="12.75">
      <c r="A180" s="631"/>
      <c r="B180" s="659"/>
      <c r="C180" s="632"/>
      <c r="D180" s="632"/>
      <c r="E180" s="632"/>
      <c r="F180" s="632"/>
      <c r="G180" s="632"/>
      <c r="H180" s="630"/>
      <c r="I180" s="607"/>
      <c r="J180" s="607"/>
    </row>
    <row r="181" spans="1:10" ht="21.75" customHeight="1">
      <c r="A181" s="794" t="s">
        <v>1026</v>
      </c>
      <c r="B181" s="795"/>
      <c r="C181" s="795"/>
      <c r="D181" s="795"/>
      <c r="E181" s="632"/>
      <c r="F181" s="632"/>
      <c r="G181" s="632"/>
      <c r="H181" s="630"/>
      <c r="I181" s="607"/>
      <c r="J181" s="607"/>
    </row>
    <row r="182" spans="1:10" ht="6.75" customHeight="1">
      <c r="A182" s="633"/>
      <c r="B182" s="608"/>
      <c r="C182" s="614"/>
      <c r="D182" s="614"/>
      <c r="E182" s="614"/>
      <c r="F182" s="614"/>
      <c r="G182" s="614"/>
      <c r="H182" s="630"/>
      <c r="I182" s="607"/>
      <c r="J182" s="607"/>
    </row>
    <row r="183" spans="1:10" ht="12.75" hidden="1">
      <c r="A183" s="633"/>
      <c r="B183" s="608"/>
      <c r="C183" s="614"/>
      <c r="D183" s="614"/>
      <c r="E183" s="816" t="s">
        <v>695</v>
      </c>
      <c r="F183" s="816"/>
      <c r="G183" s="816"/>
      <c r="H183" s="816"/>
      <c r="I183" s="816"/>
      <c r="J183" s="634"/>
    </row>
    <row r="184" spans="1:10" ht="12.75" hidden="1">
      <c r="A184" s="635"/>
      <c r="B184" s="658"/>
      <c r="C184" s="636"/>
      <c r="D184" s="636"/>
      <c r="E184" s="817" t="s">
        <v>844</v>
      </c>
      <c r="F184" s="817"/>
      <c r="G184" s="817"/>
      <c r="H184" s="817"/>
      <c r="I184" s="817"/>
      <c r="J184" s="637"/>
    </row>
    <row r="186" ht="29.25" customHeight="1"/>
    <row r="187" spans="2:9" ht="12.75">
      <c r="B187" s="808" t="s">
        <v>953</v>
      </c>
      <c r="C187" s="808"/>
      <c r="D187" s="808"/>
      <c r="E187" s="808"/>
      <c r="G187" s="808" t="s">
        <v>954</v>
      </c>
      <c r="H187" s="808"/>
      <c r="I187" s="808"/>
    </row>
    <row r="188" spans="2:9" ht="12.75">
      <c r="B188" s="811" t="s">
        <v>956</v>
      </c>
      <c r="C188" s="811"/>
      <c r="D188" s="811"/>
      <c r="E188" s="811"/>
      <c r="G188" s="809" t="s">
        <v>955</v>
      </c>
      <c r="H188" s="810"/>
      <c r="I188" s="810"/>
    </row>
  </sheetData>
  <sheetProtection/>
  <mergeCells count="186">
    <mergeCell ref="C166:G166"/>
    <mergeCell ref="C165:G165"/>
    <mergeCell ref="C67:G67"/>
    <mergeCell ref="C98:G98"/>
    <mergeCell ref="C151:G151"/>
    <mergeCell ref="C152:G152"/>
    <mergeCell ref="C136:G136"/>
    <mergeCell ref="C137:G137"/>
    <mergeCell ref="C138:G138"/>
    <mergeCell ref="C139:G139"/>
    <mergeCell ref="C154:G154"/>
    <mergeCell ref="C144:G144"/>
    <mergeCell ref="C145:G145"/>
    <mergeCell ref="C146:G146"/>
    <mergeCell ref="C147:G147"/>
    <mergeCell ref="C148:G148"/>
    <mergeCell ref="C149:G149"/>
    <mergeCell ref="C72:G72"/>
    <mergeCell ref="C107:G107"/>
    <mergeCell ref="C124:G124"/>
    <mergeCell ref="C117:G117"/>
    <mergeCell ref="C153:G153"/>
    <mergeCell ref="C133:G133"/>
    <mergeCell ref="C123:G123"/>
    <mergeCell ref="C114:G114"/>
    <mergeCell ref="C116:G116"/>
    <mergeCell ref="C115:G115"/>
    <mergeCell ref="C62:G62"/>
    <mergeCell ref="C30:G30"/>
    <mergeCell ref="C31:G31"/>
    <mergeCell ref="C50:G50"/>
    <mergeCell ref="C77:G77"/>
    <mergeCell ref="C64:G64"/>
    <mergeCell ref="C73:G73"/>
    <mergeCell ref="C56:G56"/>
    <mergeCell ref="C75:G75"/>
    <mergeCell ref="C40:G40"/>
    <mergeCell ref="C121:G121"/>
    <mergeCell ref="C96:G96"/>
    <mergeCell ref="C105:G105"/>
    <mergeCell ref="C78:G78"/>
    <mergeCell ref="C69:G69"/>
    <mergeCell ref="C53:G53"/>
    <mergeCell ref="C63:G63"/>
    <mergeCell ref="C41:G41"/>
    <mergeCell ref="C106:G106"/>
    <mergeCell ref="C13:G13"/>
    <mergeCell ref="C58:G58"/>
    <mergeCell ref="C16:G16"/>
    <mergeCell ref="C38:G38"/>
    <mergeCell ref="C61:G61"/>
    <mergeCell ref="C59:G59"/>
    <mergeCell ref="C52:G52"/>
    <mergeCell ref="C33:G33"/>
    <mergeCell ref="C39:G39"/>
    <mergeCell ref="C44:G44"/>
    <mergeCell ref="C70:G70"/>
    <mergeCell ref="C79:G79"/>
    <mergeCell ref="C118:G118"/>
    <mergeCell ref="C66:G66"/>
    <mergeCell ref="C108:G108"/>
    <mergeCell ref="C100:G100"/>
    <mergeCell ref="C93:G93"/>
    <mergeCell ref="C92:G92"/>
    <mergeCell ref="C113:G113"/>
    <mergeCell ref="C84:G84"/>
    <mergeCell ref="C104:G104"/>
    <mergeCell ref="C135:G135"/>
    <mergeCell ref="C120:G120"/>
    <mergeCell ref="C65:G65"/>
    <mergeCell ref="C21:G21"/>
    <mergeCell ref="C54:G54"/>
    <mergeCell ref="C42:G42"/>
    <mergeCell ref="C43:G43"/>
    <mergeCell ref="C51:G51"/>
    <mergeCell ref="C91:G91"/>
    <mergeCell ref="C169:G169"/>
    <mergeCell ref="C129:G129"/>
    <mergeCell ref="C130:G130"/>
    <mergeCell ref="C167:G167"/>
    <mergeCell ref="C158:G158"/>
    <mergeCell ref="C150:G150"/>
    <mergeCell ref="C157:G157"/>
    <mergeCell ref="C132:G132"/>
    <mergeCell ref="C142:G142"/>
    <mergeCell ref="C141:G141"/>
    <mergeCell ref="C134:G134"/>
    <mergeCell ref="C18:G18"/>
    <mergeCell ref="C17:G17"/>
    <mergeCell ref="C155:G155"/>
    <mergeCell ref="C168:G168"/>
    <mergeCell ref="C177:G177"/>
    <mergeCell ref="C163:G163"/>
    <mergeCell ref="C164:G164"/>
    <mergeCell ref="C162:G162"/>
    <mergeCell ref="C159:G159"/>
    <mergeCell ref="C160:G160"/>
    <mergeCell ref="C10:G10"/>
    <mergeCell ref="C8:G8"/>
    <mergeCell ref="C19:G19"/>
    <mergeCell ref="J4:J5"/>
    <mergeCell ref="C14:G14"/>
    <mergeCell ref="C15:G15"/>
    <mergeCell ref="C12:G12"/>
    <mergeCell ref="C11:G11"/>
    <mergeCell ref="B5:I5"/>
    <mergeCell ref="A6:J6"/>
    <mergeCell ref="C112:G112"/>
    <mergeCell ref="C119:G119"/>
    <mergeCell ref="C60:G60"/>
    <mergeCell ref="C7:G7"/>
    <mergeCell ref="C9:G9"/>
    <mergeCell ref="C23:G23"/>
    <mergeCell ref="C22:G22"/>
    <mergeCell ref="C24:G24"/>
    <mergeCell ref="C90:G90"/>
    <mergeCell ref="C20:G20"/>
    <mergeCell ref="C29:G29"/>
    <mergeCell ref="C25:G25"/>
    <mergeCell ref="C26:G26"/>
    <mergeCell ref="C27:G27"/>
    <mergeCell ref="C99:G99"/>
    <mergeCell ref="C32:G32"/>
    <mergeCell ref="C87:G87"/>
    <mergeCell ref="C68:G68"/>
    <mergeCell ref="C94:G94"/>
    <mergeCell ref="A3:J3"/>
    <mergeCell ref="A1:J2"/>
    <mergeCell ref="B4:I4"/>
    <mergeCell ref="C28:G28"/>
    <mergeCell ref="C95:G95"/>
    <mergeCell ref="C97:G97"/>
    <mergeCell ref="C48:G48"/>
    <mergeCell ref="C49:G49"/>
    <mergeCell ref="C71:G71"/>
    <mergeCell ref="C57:G57"/>
    <mergeCell ref="C34:G34"/>
    <mergeCell ref="C102:G102"/>
    <mergeCell ref="C35:G35"/>
    <mergeCell ref="C36:G36"/>
    <mergeCell ref="C81:G81"/>
    <mergeCell ref="C46:G46"/>
    <mergeCell ref="C82:G82"/>
    <mergeCell ref="C88:G88"/>
    <mergeCell ref="C86:G86"/>
    <mergeCell ref="C76:G76"/>
    <mergeCell ref="E184:I184"/>
    <mergeCell ref="C174:G174"/>
    <mergeCell ref="C83:G83"/>
    <mergeCell ref="C37:G37"/>
    <mergeCell ref="C111:G111"/>
    <mergeCell ref="C74:G74"/>
    <mergeCell ref="C109:G109"/>
    <mergeCell ref="C122:G122"/>
    <mergeCell ref="C143:G143"/>
    <mergeCell ref="C125:G125"/>
    <mergeCell ref="C172:G172"/>
    <mergeCell ref="C173:G173"/>
    <mergeCell ref="C47:G47"/>
    <mergeCell ref="G187:I187"/>
    <mergeCell ref="G188:I188"/>
    <mergeCell ref="B187:E187"/>
    <mergeCell ref="B188:E188"/>
    <mergeCell ref="C156:G156"/>
    <mergeCell ref="C179:G179"/>
    <mergeCell ref="E183:I183"/>
    <mergeCell ref="A181:D181"/>
    <mergeCell ref="C178:G178"/>
    <mergeCell ref="C175:G175"/>
    <mergeCell ref="C85:G85"/>
    <mergeCell ref="C89:G89"/>
    <mergeCell ref="C55:G55"/>
    <mergeCell ref="C161:G161"/>
    <mergeCell ref="C176:G176"/>
    <mergeCell ref="C170:G170"/>
    <mergeCell ref="C171:G171"/>
    <mergeCell ref="C45:G45"/>
    <mergeCell ref="C140:G140"/>
    <mergeCell ref="C131:G131"/>
    <mergeCell ref="C128:G128"/>
    <mergeCell ref="C103:G103"/>
    <mergeCell ref="C80:G80"/>
    <mergeCell ref="C101:G101"/>
    <mergeCell ref="C126:G126"/>
    <mergeCell ref="C127:G127"/>
    <mergeCell ref="C110:G110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3">
      <selection activeCell="F16" sqref="F16"/>
    </sheetView>
  </sheetViews>
  <sheetFormatPr defaultColWidth="9.140625" defaultRowHeight="12.75"/>
  <cols>
    <col min="3" max="3" width="10.28125" style="0" customWidth="1"/>
    <col min="4" max="4" width="17.28125" style="0" customWidth="1"/>
    <col min="6" max="6" width="43.8515625" style="0" customWidth="1"/>
    <col min="7" max="7" width="13.140625" style="0" customWidth="1"/>
  </cols>
  <sheetData>
    <row r="1" spans="1:7" ht="24.75" customHeight="1">
      <c r="A1" s="848" t="str">
        <f>'MEMÓRIAL DE CALCULO'!A1:J2</f>
        <v>PREFEITURA MUNICIPAL DE VARGEM ALTA</v>
      </c>
      <c r="B1" s="849"/>
      <c r="C1" s="849"/>
      <c r="D1" s="849"/>
      <c r="E1" s="849"/>
      <c r="F1" s="849"/>
      <c r="G1" s="850"/>
    </row>
    <row r="2" spans="1:7" ht="21.75" customHeight="1">
      <c r="A2" s="851" t="str">
        <f>'MEMÓRIAL DE CALCULO'!A3:J3</f>
        <v>ESTADO DO ESPIRITO SANTO</v>
      </c>
      <c r="B2" s="852"/>
      <c r="C2" s="852"/>
      <c r="D2" s="852"/>
      <c r="E2" s="852"/>
      <c r="F2" s="852"/>
      <c r="G2" s="853"/>
    </row>
    <row r="3" spans="1:7" ht="26.25" customHeight="1">
      <c r="A3" s="672" t="str">
        <f>'MEMÓRIAL DE CALCULO'!A4</f>
        <v>OBRA</v>
      </c>
      <c r="B3" s="854" t="str">
        <f>'MEMÓRIAL DE CALCULO'!B4:I4</f>
        <v>Construção do Centro de Referência Especializado de Assistência Social - CREAS</v>
      </c>
      <c r="C3" s="854"/>
      <c r="D3" s="854"/>
      <c r="E3" s="854"/>
      <c r="F3" s="854"/>
      <c r="G3" s="855"/>
    </row>
    <row r="4" spans="1:7" ht="12.75">
      <c r="A4" s="672" t="str">
        <f>'MEMÓRIAL DE CALCULO'!A5</f>
        <v>LOCAL</v>
      </c>
      <c r="B4" s="854" t="str">
        <f>'PLANILHA ORÇAMENTÁRIA'!B6:D6</f>
        <v>Vargem Alta - ES</v>
      </c>
      <c r="C4" s="854"/>
      <c r="D4" s="854"/>
      <c r="E4" s="854"/>
      <c r="F4" s="854"/>
      <c r="G4" s="855"/>
    </row>
    <row r="5" spans="1:7" ht="12.75">
      <c r="A5" s="856"/>
      <c r="B5" s="857"/>
      <c r="C5" s="857"/>
      <c r="D5" s="857"/>
      <c r="E5" s="857"/>
      <c r="F5" s="857"/>
      <c r="G5" s="858"/>
    </row>
    <row r="6" spans="1:7" ht="12.75">
      <c r="A6" s="865" t="str">
        <f>'PLANILHA ORÇAMENTÁRIA'!D154</f>
        <v>Rack de 19" para parede 12 U x 470 mm com porta frontal acrílica - fornecimento e instalação.</v>
      </c>
      <c r="B6" s="866"/>
      <c r="C6" s="866"/>
      <c r="D6" s="866"/>
      <c r="E6" s="866"/>
      <c r="F6" s="866"/>
      <c r="G6" s="867"/>
    </row>
    <row r="7" spans="1:7" ht="13.5" thickBot="1">
      <c r="A7" s="868"/>
      <c r="B7" s="869"/>
      <c r="C7" s="869"/>
      <c r="D7" s="869"/>
      <c r="E7" s="869"/>
      <c r="F7" s="869"/>
      <c r="G7" s="870"/>
    </row>
    <row r="8" spans="1:7" ht="12.75">
      <c r="A8" s="665"/>
      <c r="B8" s="673"/>
      <c r="C8" s="673"/>
      <c r="D8" s="673"/>
      <c r="E8" s="673"/>
      <c r="F8" s="673"/>
      <c r="G8" s="666"/>
    </row>
    <row r="9" spans="1:7" ht="12.75">
      <c r="A9" s="665"/>
      <c r="B9" s="673"/>
      <c r="C9" s="860" t="s">
        <v>764</v>
      </c>
      <c r="D9" s="860"/>
      <c r="E9" s="861" t="s">
        <v>957</v>
      </c>
      <c r="F9" s="857"/>
      <c r="G9" s="667" t="s">
        <v>220</v>
      </c>
    </row>
    <row r="10" spans="1:7" ht="12.75">
      <c r="A10" s="859" t="s">
        <v>958</v>
      </c>
      <c r="B10" s="860"/>
      <c r="C10" s="861" t="s">
        <v>962</v>
      </c>
      <c r="D10" s="857"/>
      <c r="E10" s="862" t="s">
        <v>961</v>
      </c>
      <c r="F10" s="863"/>
      <c r="G10" s="668">
        <v>650.85</v>
      </c>
    </row>
    <row r="11" spans="1:7" ht="12.75">
      <c r="A11" s="859" t="s">
        <v>959</v>
      </c>
      <c r="B11" s="860"/>
      <c r="C11" s="861" t="s">
        <v>964</v>
      </c>
      <c r="D11" s="857"/>
      <c r="E11" s="862" t="s">
        <v>963</v>
      </c>
      <c r="F11" s="863"/>
      <c r="G11" s="668">
        <v>522.41</v>
      </c>
    </row>
    <row r="12" spans="1:7" ht="12.75">
      <c r="A12" s="859" t="s">
        <v>960</v>
      </c>
      <c r="B12" s="860"/>
      <c r="C12" s="861" t="s">
        <v>966</v>
      </c>
      <c r="D12" s="857"/>
      <c r="E12" s="864" t="s">
        <v>965</v>
      </c>
      <c r="F12" s="854"/>
      <c r="G12" s="668">
        <v>539</v>
      </c>
    </row>
    <row r="13" spans="1:7" ht="12.75">
      <c r="A13" s="665"/>
      <c r="B13" s="673"/>
      <c r="C13" s="673"/>
      <c r="D13" s="673"/>
      <c r="E13" s="673"/>
      <c r="F13" s="673"/>
      <c r="G13" s="666"/>
    </row>
    <row r="14" spans="1:7" ht="12.75">
      <c r="A14" s="665"/>
      <c r="B14" s="673"/>
      <c r="C14" s="673"/>
      <c r="D14" s="673"/>
      <c r="E14" s="673"/>
      <c r="F14" s="673"/>
      <c r="G14" s="666"/>
    </row>
    <row r="15" spans="1:7" ht="13.5" thickBot="1">
      <c r="A15" s="669"/>
      <c r="B15" s="670"/>
      <c r="C15" s="847"/>
      <c r="D15" s="847"/>
      <c r="E15" s="847"/>
      <c r="F15" s="671" t="s">
        <v>967</v>
      </c>
      <c r="G15" s="674">
        <f>(G12+G11+G10)/3</f>
        <v>570.7533333333332</v>
      </c>
    </row>
    <row r="17" ht="12.75">
      <c r="A17" t="str">
        <f>'MEMÓRIAL DE CALCULO'!$A$181:$D$181</f>
        <v>VARGEM ALTA. 24 DE JANEIRO DE 2022</v>
      </c>
    </row>
    <row r="21" spans="2:6" ht="12.75">
      <c r="B21" s="808" t="str">
        <f>'MEMÓRIAL DE CALCULO'!$B$187:$E$187</f>
        <v>GERALGO BRUNORO ESTEVES</v>
      </c>
      <c r="C21" s="808"/>
      <c r="D21" s="808"/>
      <c r="F21" s="664" t="s">
        <v>954</v>
      </c>
    </row>
    <row r="22" spans="2:6" ht="12.75">
      <c r="B22" s="810" t="str">
        <f>'MEMÓRIAL DE CALCULO'!$B$188:$E$188</f>
        <v>ENGENHEIRO CIVIL - CREA ES 33738/D    </v>
      </c>
      <c r="C22" s="810"/>
      <c r="D22" s="810"/>
      <c r="F22" s="663" t="s">
        <v>955</v>
      </c>
    </row>
  </sheetData>
  <sheetProtection/>
  <mergeCells count="20">
    <mergeCell ref="E11:F11"/>
    <mergeCell ref="A12:B12"/>
    <mergeCell ref="C12:D12"/>
    <mergeCell ref="E12:F12"/>
    <mergeCell ref="A6:G7"/>
    <mergeCell ref="C9:D9"/>
    <mergeCell ref="E9:F9"/>
    <mergeCell ref="A10:B10"/>
    <mergeCell ref="C10:D10"/>
    <mergeCell ref="E10:F10"/>
    <mergeCell ref="B21:D21"/>
    <mergeCell ref="B22:D22"/>
    <mergeCell ref="C15:E15"/>
    <mergeCell ref="A1:G1"/>
    <mergeCell ref="A2:G2"/>
    <mergeCell ref="B4:G4"/>
    <mergeCell ref="B3:G3"/>
    <mergeCell ref="A5:G5"/>
    <mergeCell ref="A11:B11"/>
    <mergeCell ref="C11:D11"/>
  </mergeCells>
  <hyperlinks>
    <hyperlink ref="E10" r:id="rId1" display="https://www.unicaserv.com.br/mini-rack-12u-x-470mm"/>
    <hyperlink ref="E11" r:id="rId2" display="https://www.upperseg.com.br/cftv/rack-organizador/rack-horizontal/rack-19-para-parede-12u-x-470mm-com-porta-frontal-acrilica/"/>
    <hyperlink ref="E12" r:id="rId3" display="https://www.centralcabos.com.br/mini-rack-de-parede-12u/p"/>
  </hyperlinks>
  <printOptions/>
  <pageMargins left="0.511811024" right="0.511811024" top="0.787401575" bottom="0.787401575" header="0.31496062" footer="0.31496062"/>
  <pageSetup orientation="landscape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28">
      <selection activeCell="B9" sqref="B9"/>
    </sheetView>
  </sheetViews>
  <sheetFormatPr defaultColWidth="9.140625" defaultRowHeight="12.75"/>
  <cols>
    <col min="1" max="1" width="11.421875" style="0" customWidth="1"/>
    <col min="2" max="2" width="34.140625" style="0" customWidth="1"/>
    <col min="3" max="3" width="24.421875" style="0" customWidth="1"/>
    <col min="4" max="4" width="6.421875" style="0" customWidth="1"/>
  </cols>
  <sheetData>
    <row r="1" spans="1:4" ht="43.5" customHeight="1">
      <c r="A1" s="878" t="s">
        <v>392</v>
      </c>
      <c r="B1" s="878"/>
      <c r="C1" s="878"/>
      <c r="D1" s="878"/>
    </row>
    <row r="2" spans="1:4" ht="12.75">
      <c r="A2" s="779"/>
      <c r="B2" s="779"/>
      <c r="C2" s="779"/>
      <c r="D2" s="779"/>
    </row>
    <row r="3" spans="1:4" ht="12.75" customHeight="1">
      <c r="A3" s="780" t="s">
        <v>393</v>
      </c>
      <c r="B3" s="879" t="s">
        <v>1028</v>
      </c>
      <c r="C3" s="879"/>
      <c r="D3" s="879"/>
    </row>
    <row r="4" spans="1:4" ht="31.5" customHeight="1">
      <c r="A4" s="780" t="s">
        <v>394</v>
      </c>
      <c r="B4" s="879" t="str">
        <f>'PLANILHA ORÇAMENTÁRIA'!B5:H5</f>
        <v>CONSTRUÇÃO DO CENTRO DE REFERÊNCIA ESPECIALIZADO DE ASSITÊNCIA SOCIAL - CREAS</v>
      </c>
      <c r="C4" s="879"/>
      <c r="D4" s="879"/>
    </row>
    <row r="5" spans="1:4" ht="12.75">
      <c r="A5" s="781"/>
      <c r="B5" s="782"/>
      <c r="C5" s="783"/>
      <c r="D5" s="784"/>
    </row>
    <row r="6" spans="1:4" ht="12.75">
      <c r="A6" s="871" t="s">
        <v>396</v>
      </c>
      <c r="B6" s="871"/>
      <c r="C6" s="871"/>
      <c r="D6" s="871"/>
    </row>
    <row r="7" spans="1:4" ht="12.75">
      <c r="A7" s="747"/>
      <c r="B7" s="748"/>
      <c r="C7" s="749"/>
      <c r="D7" s="750"/>
    </row>
    <row r="8" spans="1:4" ht="12.75">
      <c r="A8" s="751"/>
      <c r="B8" s="752" t="s">
        <v>1029</v>
      </c>
      <c r="C8" s="749"/>
      <c r="D8" s="750"/>
    </row>
    <row r="9" spans="1:4" ht="12.75">
      <c r="A9" s="751"/>
      <c r="B9" s="751"/>
      <c r="C9" s="749"/>
      <c r="D9" s="750"/>
    </row>
    <row r="10" spans="1:4" ht="12.75">
      <c r="A10" s="871" t="s">
        <v>398</v>
      </c>
      <c r="B10" s="871"/>
      <c r="C10" s="871"/>
      <c r="D10" s="871"/>
    </row>
    <row r="11" spans="1:4" ht="12.75">
      <c r="A11" s="747"/>
      <c r="B11" s="747"/>
      <c r="C11" s="753"/>
      <c r="D11" s="754"/>
    </row>
    <row r="12" spans="1:4" ht="12.75">
      <c r="A12" s="751"/>
      <c r="B12" s="752" t="s">
        <v>416</v>
      </c>
      <c r="C12" s="753"/>
      <c r="D12" s="754"/>
    </row>
    <row r="13" spans="1:4" ht="12.75">
      <c r="A13" s="751"/>
      <c r="B13" s="755"/>
      <c r="C13" s="755"/>
      <c r="D13" s="756"/>
    </row>
    <row r="14" spans="1:4" ht="12.75">
      <c r="A14" s="871" t="s">
        <v>399</v>
      </c>
      <c r="B14" s="871"/>
      <c r="C14" s="871"/>
      <c r="D14" s="871"/>
    </row>
    <row r="15" spans="1:4" ht="12.75">
      <c r="A15" s="747"/>
      <c r="B15" s="747"/>
      <c r="C15" s="753"/>
      <c r="D15" s="757"/>
    </row>
    <row r="16" spans="1:4" ht="12.75">
      <c r="A16" s="758"/>
      <c r="B16" s="759" t="s">
        <v>1030</v>
      </c>
      <c r="C16" s="760">
        <v>4.06</v>
      </c>
      <c r="D16" s="761" t="s">
        <v>219</v>
      </c>
    </row>
    <row r="17" spans="1:4" ht="12.75">
      <c r="A17" s="758"/>
      <c r="B17" s="759" t="s">
        <v>1031</v>
      </c>
      <c r="C17" s="760">
        <v>8.19</v>
      </c>
      <c r="D17" s="761" t="s">
        <v>219</v>
      </c>
    </row>
    <row r="18" spans="1:4" ht="12.75">
      <c r="A18" s="758"/>
      <c r="B18" s="759" t="s">
        <v>1032</v>
      </c>
      <c r="C18" s="760">
        <v>1</v>
      </c>
      <c r="D18" s="761" t="s">
        <v>219</v>
      </c>
    </row>
    <row r="19" spans="1:4" ht="12.75">
      <c r="A19" s="758"/>
      <c r="B19" s="759" t="s">
        <v>1033</v>
      </c>
      <c r="C19" s="760">
        <v>0.61</v>
      </c>
      <c r="D19" s="761" t="s">
        <v>219</v>
      </c>
    </row>
    <row r="20" spans="1:4" ht="12.75">
      <c r="A20" s="762"/>
      <c r="B20" s="763"/>
      <c r="C20" s="764"/>
      <c r="D20" s="765"/>
    </row>
    <row r="21" spans="1:4" ht="12.75">
      <c r="A21" s="758"/>
      <c r="B21" s="759" t="s">
        <v>1034</v>
      </c>
      <c r="C21" s="760">
        <v>8</v>
      </c>
      <c r="D21" s="761" t="s">
        <v>219</v>
      </c>
    </row>
    <row r="22" spans="1:4" ht="12.75">
      <c r="A22" s="751"/>
      <c r="B22" s="751"/>
      <c r="C22" s="766"/>
      <c r="D22" s="767"/>
    </row>
    <row r="23" spans="1:4" ht="12.75">
      <c r="A23" s="871" t="s">
        <v>400</v>
      </c>
      <c r="B23" s="871"/>
      <c r="C23" s="871"/>
      <c r="D23" s="871"/>
    </row>
    <row r="24" spans="1:4" ht="12.75">
      <c r="A24" s="746"/>
      <c r="B24" s="746"/>
      <c r="C24" s="746"/>
      <c r="D24" s="746"/>
    </row>
    <row r="25" spans="1:4" ht="12.75">
      <c r="A25" s="746"/>
      <c r="B25" s="768" t="s">
        <v>401</v>
      </c>
      <c r="C25" s="769">
        <v>12.65</v>
      </c>
      <c r="D25" s="770" t="s">
        <v>219</v>
      </c>
    </row>
    <row r="26" spans="1:4" ht="12.75">
      <c r="A26" s="746"/>
      <c r="B26" s="746"/>
      <c r="C26" s="746"/>
      <c r="D26" s="746"/>
    </row>
    <row r="27" spans="1:4" ht="25.5">
      <c r="A27" s="746"/>
      <c r="B27" s="771" t="s">
        <v>1035</v>
      </c>
      <c r="C27" s="760">
        <v>100</v>
      </c>
      <c r="D27" s="770" t="s">
        <v>219</v>
      </c>
    </row>
    <row r="28" spans="1:4" ht="25.5">
      <c r="A28" s="746"/>
      <c r="B28" s="771" t="s">
        <v>1036</v>
      </c>
      <c r="C28" s="760">
        <v>5</v>
      </c>
      <c r="D28" s="770" t="s">
        <v>219</v>
      </c>
    </row>
    <row r="29" spans="1:4" ht="12.75">
      <c r="A29" s="747"/>
      <c r="B29" s="747"/>
      <c r="C29" s="772"/>
      <c r="D29" s="773"/>
    </row>
    <row r="30" spans="1:4" ht="12.75">
      <c r="A30" s="751"/>
      <c r="B30" s="771" t="s">
        <v>403</v>
      </c>
      <c r="C30" s="774">
        <v>3</v>
      </c>
      <c r="D30" s="775" t="s">
        <v>219</v>
      </c>
    </row>
    <row r="31" spans="1:4" ht="12.75">
      <c r="A31" s="751"/>
      <c r="B31" s="771" t="s">
        <v>404</v>
      </c>
      <c r="C31" s="774">
        <v>0.65</v>
      </c>
      <c r="D31" s="775" t="s">
        <v>219</v>
      </c>
    </row>
    <row r="32" spans="1:4" ht="12.75">
      <c r="A32" s="751"/>
      <c r="B32" s="771" t="s">
        <v>1037</v>
      </c>
      <c r="C32" s="774">
        <v>4</v>
      </c>
      <c r="D32" s="761" t="s">
        <v>219</v>
      </c>
    </row>
    <row r="33" spans="1:4" ht="12.75">
      <c r="A33" s="751"/>
      <c r="B33" s="751"/>
      <c r="C33" s="755"/>
      <c r="D33" s="756"/>
    </row>
    <row r="34" spans="1:4" ht="12.75" customHeight="1">
      <c r="A34" s="871" t="s">
        <v>406</v>
      </c>
      <c r="B34" s="871"/>
      <c r="C34" s="871"/>
      <c r="D34" s="871"/>
    </row>
    <row r="35" spans="1:4" ht="12.75" customHeight="1">
      <c r="A35" s="747"/>
      <c r="B35" s="747"/>
      <c r="C35" s="753"/>
      <c r="D35" s="754"/>
    </row>
    <row r="36" spans="1:4" ht="12.75">
      <c r="A36" s="751"/>
      <c r="B36" s="766" t="s">
        <v>1038</v>
      </c>
      <c r="C36" s="872">
        <v>0.3196</v>
      </c>
      <c r="D36" s="873"/>
    </row>
    <row r="37" spans="1:4" ht="12.75">
      <c r="A37" s="751"/>
      <c r="B37" s="755"/>
      <c r="C37" s="874"/>
      <c r="D37" s="875"/>
    </row>
    <row r="38" spans="1:4" ht="12.75">
      <c r="A38" s="751"/>
      <c r="B38" s="751"/>
      <c r="C38" s="776"/>
      <c r="D38" s="777"/>
    </row>
    <row r="39" spans="1:4" ht="12.75">
      <c r="A39" s="876"/>
      <c r="B39" s="876"/>
      <c r="C39" s="876"/>
      <c r="D39" s="876"/>
    </row>
    <row r="40" spans="1:4" ht="12.75">
      <c r="A40" s="876" t="s">
        <v>1039</v>
      </c>
      <c r="B40" s="876"/>
      <c r="C40" s="876"/>
      <c r="D40" s="777"/>
    </row>
    <row r="41" spans="1:4" ht="12.75">
      <c r="A41" s="778"/>
      <c r="B41" s="751"/>
      <c r="C41" s="755"/>
      <c r="D41" s="777"/>
    </row>
    <row r="42" spans="1:4" ht="12.75">
      <c r="A42" s="877" t="s">
        <v>1040</v>
      </c>
      <c r="B42" s="877"/>
      <c r="C42" s="877"/>
      <c r="D42" s="877"/>
    </row>
    <row r="43" spans="1:4" ht="12.75">
      <c r="A43" s="877" t="s">
        <v>1041</v>
      </c>
      <c r="B43" s="877"/>
      <c r="C43" s="877"/>
      <c r="D43" s="877"/>
    </row>
    <row r="44" spans="1:4" ht="12.75">
      <c r="A44" s="877" t="s">
        <v>1042</v>
      </c>
      <c r="B44" s="877"/>
      <c r="C44" s="877"/>
      <c r="D44" s="877"/>
    </row>
    <row r="45" spans="1:4" ht="12.75">
      <c r="A45" s="751"/>
      <c r="B45" s="751"/>
      <c r="C45" s="755"/>
      <c r="D45" s="777"/>
    </row>
    <row r="46" spans="1:4" ht="12.75">
      <c r="A46" s="751"/>
      <c r="B46" s="751"/>
      <c r="C46" s="755"/>
      <c r="D46" s="777"/>
    </row>
    <row r="47" spans="1:4" ht="12.75">
      <c r="A47" s="751"/>
      <c r="B47" s="751"/>
      <c r="C47" s="755"/>
      <c r="D47" s="777"/>
    </row>
    <row r="48" spans="1:4" ht="12.75">
      <c r="A48" s="758" t="s">
        <v>1043</v>
      </c>
      <c r="B48" s="785" t="s">
        <v>948</v>
      </c>
      <c r="C48" s="755"/>
      <c r="D48" s="777"/>
    </row>
    <row r="49" spans="1:4" ht="12.75">
      <c r="A49" s="758" t="s">
        <v>1044</v>
      </c>
      <c r="B49" s="786" t="s">
        <v>1045</v>
      </c>
      <c r="C49" s="755"/>
      <c r="D49" s="777"/>
    </row>
    <row r="50" spans="1:4" ht="12.75">
      <c r="A50" s="751"/>
      <c r="B50" s="751"/>
      <c r="C50" s="755"/>
      <c r="D50" s="777"/>
    </row>
    <row r="51" spans="1:4" ht="12.75">
      <c r="A51" s="751"/>
      <c r="B51" s="751"/>
      <c r="C51" s="755"/>
      <c r="D51" s="777"/>
    </row>
    <row r="52" spans="1:4" ht="12.75">
      <c r="A52" s="751"/>
      <c r="B52" s="751"/>
      <c r="C52" s="751"/>
      <c r="D52" s="751"/>
    </row>
    <row r="53" spans="1:4" ht="12.75">
      <c r="A53" s="751"/>
      <c r="B53" s="751"/>
      <c r="C53" s="755"/>
      <c r="D53" s="777"/>
    </row>
    <row r="54" spans="1:4" ht="12.75">
      <c r="A54" s="758" t="s">
        <v>1046</v>
      </c>
      <c r="B54" s="785" t="s">
        <v>954</v>
      </c>
      <c r="C54" s="755"/>
      <c r="D54" s="777"/>
    </row>
    <row r="55" spans="1:4" ht="12.75">
      <c r="A55" s="758" t="s">
        <v>1047</v>
      </c>
      <c r="B55" s="786" t="s">
        <v>988</v>
      </c>
      <c r="C55" s="755"/>
      <c r="D55" s="777"/>
    </row>
  </sheetData>
  <sheetProtection/>
  <protectedRanges>
    <protectedRange sqref="C17:C20" name="Intervalo1"/>
    <protectedRange sqref="C21:C22 C27:C30" name="Intervalo2"/>
  </protectedRanges>
  <mergeCells count="14">
    <mergeCell ref="A42:D42"/>
    <mergeCell ref="A43:D43"/>
    <mergeCell ref="A44:D44"/>
    <mergeCell ref="A1:D1"/>
    <mergeCell ref="B3:D3"/>
    <mergeCell ref="B4:D4"/>
    <mergeCell ref="A6:D6"/>
    <mergeCell ref="A10:D10"/>
    <mergeCell ref="A14:D14"/>
    <mergeCell ref="A23:D23"/>
    <mergeCell ref="A34:D34"/>
    <mergeCell ref="C36:D37"/>
    <mergeCell ref="A39:D39"/>
    <mergeCell ref="A40:C40"/>
  </mergeCells>
  <dataValidations count="2">
    <dataValidation type="list" allowBlank="1" showInputMessage="1" showErrorMessage="1" sqref="B9">
      <formula1>"Com Desoneração, Sem Desoneração"</formula1>
    </dataValidation>
    <dataValidation type="list" allowBlank="1" showInputMessage="1" showErrorMessage="1" sqref="B13">
      <formula1>"Edificações, Fornecimento de Materiais e Equipamentos, Redes de Água, Esgoto ou Correlatas, Rodovias e Ferrovias, Portuárias, Marítimas e Fluviais,"</formula1>
    </dataValidation>
  </dataValidations>
  <printOptions/>
  <pageMargins left="0.5118110236220472" right="0.5118110236220472" top="0.3937007874015748" bottom="0.3937007874015748" header="0.31496062992125984" footer="0.31496062992125984"/>
  <pageSetup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27.421875" style="0" customWidth="1"/>
    <col min="13" max="13" width="13.28125" style="0" customWidth="1"/>
  </cols>
  <sheetData>
    <row r="1" spans="1:16" ht="12.75" customHeight="1">
      <c r="A1" s="910" t="str">
        <f>CRONOGRAM!A1</f>
        <v>PREFEITURA MUNICIPAL DE VARGEM ALTA
ESTADO DO ESPÍRITO SANTO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2"/>
    </row>
    <row r="2" spans="1:16" ht="10.5" customHeight="1">
      <c r="A2" s="851"/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3"/>
    </row>
    <row r="3" spans="1:16" ht="33" customHeight="1">
      <c r="A3" s="920" t="str">
        <f>'MEMÓRIAL DE CALCULO'!A3:J3</f>
        <v>ESTADO DO ESPIRITO SANTO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2"/>
    </row>
    <row r="4" spans="1:16" ht="33" customHeight="1">
      <c r="A4" s="741" t="str">
        <f>'MEMÓRIAL DE CALCULO'!$A$4</f>
        <v>OBRA</v>
      </c>
      <c r="B4" s="742" t="str">
        <f>'MEMÓRIAL DE CALCULO'!$B$4:$I$4</f>
        <v>Construção do Centro de Referência Especializado de Assistência Social - CREAS</v>
      </c>
      <c r="C4" s="742"/>
      <c r="D4" s="742"/>
      <c r="E4" s="742"/>
      <c r="F4" s="742"/>
      <c r="G4" s="742"/>
      <c r="H4" s="743"/>
      <c r="I4" s="743"/>
      <c r="J4" s="924" t="str">
        <f>'MEMÓRIAL DE CALCULO'!$J$4:$J$5</f>
        <v>Fonte de Referência: IOPES/ SINAPI - Data base: Novembro/2021 </v>
      </c>
      <c r="K4" s="924"/>
      <c r="L4" s="924"/>
      <c r="M4" s="924"/>
      <c r="N4" s="924"/>
      <c r="O4" s="924"/>
      <c r="P4" s="924"/>
    </row>
    <row r="5" spans="1:16" ht="12.75">
      <c r="A5" s="738" t="str">
        <f>'MEMÓRIAL DE CALCULO'!$A$5</f>
        <v>LOCAL</v>
      </c>
      <c r="B5" s="923" t="s">
        <v>1021</v>
      </c>
      <c r="C5" s="923"/>
      <c r="D5" s="923"/>
      <c r="E5" s="923"/>
      <c r="F5" s="923"/>
      <c r="G5" s="923"/>
      <c r="H5" s="923"/>
      <c r="I5" s="923"/>
      <c r="J5" s="739"/>
      <c r="K5" s="739"/>
      <c r="L5" s="739"/>
      <c r="M5" s="739"/>
      <c r="N5" s="739"/>
      <c r="O5" s="739"/>
      <c r="P5" s="740"/>
    </row>
    <row r="6" spans="1:16" ht="12.75">
      <c r="A6" s="927" t="s">
        <v>1001</v>
      </c>
      <c r="B6" s="928"/>
      <c r="C6" s="928"/>
      <c r="D6" s="928"/>
      <c r="E6" s="928"/>
      <c r="F6" s="928"/>
      <c r="G6" s="928"/>
      <c r="H6" s="928"/>
      <c r="I6" s="928"/>
      <c r="J6" s="928"/>
      <c r="K6" s="928"/>
      <c r="L6" s="928"/>
      <c r="M6" s="928"/>
      <c r="N6" s="928"/>
      <c r="O6" s="928"/>
      <c r="P6" s="929"/>
    </row>
    <row r="7" spans="1:16" ht="12.75">
      <c r="A7" s="707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708"/>
    </row>
    <row r="8" spans="1:16" ht="12.75">
      <c r="A8" s="930" t="s">
        <v>1002</v>
      </c>
      <c r="B8" s="800"/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931"/>
    </row>
    <row r="9" spans="1:16" ht="12.75">
      <c r="A9" s="709"/>
      <c r="B9" s="597"/>
      <c r="C9" s="836"/>
      <c r="D9" s="836"/>
      <c r="E9" s="836"/>
      <c r="F9" s="836"/>
      <c r="G9" s="836"/>
      <c r="H9" s="836"/>
      <c r="I9" s="836"/>
      <c r="J9" s="597"/>
      <c r="K9" s="597"/>
      <c r="L9" s="597"/>
      <c r="M9" s="597"/>
      <c r="N9" s="597"/>
      <c r="O9" s="597"/>
      <c r="P9" s="710"/>
    </row>
    <row r="10" spans="1:16" ht="12.75">
      <c r="A10" s="711"/>
      <c r="B10" s="598"/>
      <c r="C10" s="837"/>
      <c r="D10" s="838"/>
      <c r="E10" s="838"/>
      <c r="F10" s="838"/>
      <c r="G10" s="838"/>
      <c r="H10" s="838"/>
      <c r="I10" s="839"/>
      <c r="J10" s="598"/>
      <c r="K10" s="598"/>
      <c r="L10" s="598"/>
      <c r="M10" s="598"/>
      <c r="N10" s="598"/>
      <c r="O10" s="598"/>
      <c r="P10" s="712"/>
    </row>
    <row r="11" spans="1:16" ht="12.75">
      <c r="A11" s="913" t="s">
        <v>1003</v>
      </c>
      <c r="B11" s="914"/>
      <c r="C11" s="915" t="s">
        <v>1004</v>
      </c>
      <c r="D11" s="916"/>
      <c r="E11" s="916"/>
      <c r="F11" s="916"/>
      <c r="G11" s="916"/>
      <c r="H11" s="916"/>
      <c r="I11" s="917"/>
      <c r="J11" s="691" t="s">
        <v>1005</v>
      </c>
      <c r="K11" s="692" t="s">
        <v>1006</v>
      </c>
      <c r="L11" s="692" t="s">
        <v>1007</v>
      </c>
      <c r="M11" s="692" t="s">
        <v>1008</v>
      </c>
      <c r="N11" s="692" t="s">
        <v>1009</v>
      </c>
      <c r="O11" s="692" t="s">
        <v>1010</v>
      </c>
      <c r="P11" s="713" t="s">
        <v>1011</v>
      </c>
    </row>
    <row r="12" spans="1:16" ht="12.75">
      <c r="A12" s="932" t="s">
        <v>1012</v>
      </c>
      <c r="B12" s="933"/>
      <c r="C12" s="933"/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4"/>
      <c r="O12" s="935">
        <v>0</v>
      </c>
      <c r="P12" s="936"/>
    </row>
    <row r="13" spans="1:16" ht="12.75">
      <c r="A13" s="714"/>
      <c r="B13" s="693"/>
      <c r="C13" s="788"/>
      <c r="D13" s="789"/>
      <c r="E13" s="789"/>
      <c r="F13" s="789"/>
      <c r="G13" s="789"/>
      <c r="H13" s="789"/>
      <c r="I13" s="790"/>
      <c r="J13" s="694"/>
      <c r="K13" s="695"/>
      <c r="L13" s="695"/>
      <c r="M13" s="695"/>
      <c r="N13" s="695"/>
      <c r="O13" s="695"/>
      <c r="P13" s="715"/>
    </row>
    <row r="14" spans="1:16" ht="12.75">
      <c r="A14" s="913" t="s">
        <v>1013</v>
      </c>
      <c r="B14" s="914"/>
      <c r="C14" s="915" t="s">
        <v>1004</v>
      </c>
      <c r="D14" s="916"/>
      <c r="E14" s="916"/>
      <c r="F14" s="916"/>
      <c r="G14" s="916"/>
      <c r="H14" s="916"/>
      <c r="I14" s="917"/>
      <c r="J14" s="925" t="s">
        <v>1014</v>
      </c>
      <c r="K14" s="926"/>
      <c r="L14" s="696" t="s">
        <v>1015</v>
      </c>
      <c r="M14" s="696" t="s">
        <v>1011</v>
      </c>
      <c r="N14" s="697"/>
      <c r="O14" s="697"/>
      <c r="P14" s="716"/>
    </row>
    <row r="15" spans="1:16" ht="12.75">
      <c r="A15" s="918" t="s">
        <v>1016</v>
      </c>
      <c r="B15" s="919"/>
      <c r="C15" s="813">
        <v>2706</v>
      </c>
      <c r="D15" s="814"/>
      <c r="E15" s="814"/>
      <c r="F15" s="814"/>
      <c r="G15" s="814"/>
      <c r="H15" s="814"/>
      <c r="I15" s="815"/>
      <c r="J15" s="948">
        <v>79.18</v>
      </c>
      <c r="K15" s="949"/>
      <c r="L15" s="698">
        <v>1</v>
      </c>
      <c r="M15" s="698">
        <f>J15*L15</f>
        <v>79.18</v>
      </c>
      <c r="N15" s="699"/>
      <c r="O15" s="699"/>
      <c r="P15" s="717"/>
    </row>
    <row r="16" spans="1:16" ht="12.75">
      <c r="A16" s="918" t="s">
        <v>1017</v>
      </c>
      <c r="B16" s="919"/>
      <c r="C16" s="813">
        <v>4083</v>
      </c>
      <c r="D16" s="814"/>
      <c r="E16" s="814"/>
      <c r="F16" s="814"/>
      <c r="G16" s="814"/>
      <c r="H16" s="814"/>
      <c r="I16" s="815"/>
      <c r="J16" s="948">
        <v>29.38</v>
      </c>
      <c r="K16" s="949"/>
      <c r="L16" s="698">
        <v>1</v>
      </c>
      <c r="M16" s="698">
        <f>J16*L16</f>
        <v>29.38</v>
      </c>
      <c r="N16" s="700"/>
      <c r="O16" s="700"/>
      <c r="P16" s="718"/>
    </row>
    <row r="17" spans="1:16" ht="12.75">
      <c r="A17" s="951" t="s">
        <v>1018</v>
      </c>
      <c r="B17" s="952"/>
      <c r="C17" s="952"/>
      <c r="D17" s="952"/>
      <c r="E17" s="952"/>
      <c r="F17" s="952"/>
      <c r="G17" s="952"/>
      <c r="H17" s="952"/>
      <c r="I17" s="952"/>
      <c r="J17" s="952"/>
      <c r="K17" s="952"/>
      <c r="L17" s="953"/>
      <c r="M17" s="701">
        <f>SUM(M15:M16)</f>
        <v>108.56</v>
      </c>
      <c r="N17" s="702"/>
      <c r="O17" s="703"/>
      <c r="P17" s="719"/>
    </row>
    <row r="18" spans="1:16" ht="12.75">
      <c r="A18" s="720"/>
      <c r="B18" s="604"/>
      <c r="C18" s="788"/>
      <c r="D18" s="789"/>
      <c r="E18" s="789"/>
      <c r="F18" s="789"/>
      <c r="G18" s="789"/>
      <c r="H18" s="789"/>
      <c r="I18" s="790"/>
      <c r="J18" s="684"/>
      <c r="K18" s="703"/>
      <c r="L18" s="703"/>
      <c r="M18" s="703"/>
      <c r="N18" s="703"/>
      <c r="O18" s="703"/>
      <c r="P18" s="721"/>
    </row>
    <row r="19" spans="1:16" ht="12.75">
      <c r="A19" s="940"/>
      <c r="B19" s="941"/>
      <c r="C19" s="791"/>
      <c r="D19" s="792"/>
      <c r="E19" s="792"/>
      <c r="F19" s="792"/>
      <c r="G19" s="792"/>
      <c r="H19" s="792"/>
      <c r="I19" s="793"/>
      <c r="J19" s="601"/>
      <c r="K19" s="943"/>
      <c r="L19" s="944"/>
      <c r="M19" s="699"/>
      <c r="N19" s="943"/>
      <c r="O19" s="944"/>
      <c r="P19" s="717"/>
    </row>
    <row r="20" spans="1:16" ht="12.75">
      <c r="A20" s="940"/>
      <c r="B20" s="941"/>
      <c r="C20" s="660"/>
      <c r="D20" s="661"/>
      <c r="E20" s="661"/>
      <c r="F20" s="661"/>
      <c r="G20" s="661"/>
      <c r="H20" s="661"/>
      <c r="I20" s="662"/>
      <c r="J20" s="684"/>
      <c r="K20" s="943" t="s">
        <v>1019</v>
      </c>
      <c r="L20" s="950"/>
      <c r="M20" s="950"/>
      <c r="N20" s="950"/>
      <c r="O20" s="944"/>
      <c r="P20" s="722">
        <f>SUM(O12+M17)</f>
        <v>108.56</v>
      </c>
    </row>
    <row r="21" spans="1:16" ht="12.75">
      <c r="A21" s="937"/>
      <c r="B21" s="815"/>
      <c r="C21" s="615"/>
      <c r="D21" s="615"/>
      <c r="E21" s="615"/>
      <c r="F21" s="615"/>
      <c r="G21" s="615"/>
      <c r="H21" s="615"/>
      <c r="I21" s="615"/>
      <c r="J21" s="615"/>
      <c r="K21" s="802" t="s">
        <v>1020</v>
      </c>
      <c r="L21" s="803"/>
      <c r="M21" s="803"/>
      <c r="N21" s="803"/>
      <c r="O21" s="804"/>
      <c r="P21" s="723">
        <f>SUM(P20:P20)</f>
        <v>108.56</v>
      </c>
    </row>
    <row r="22" spans="1:16" ht="12.75">
      <c r="A22" s="724"/>
      <c r="B22" s="608"/>
      <c r="C22" s="725"/>
      <c r="D22" s="725"/>
      <c r="E22" s="725"/>
      <c r="F22" s="725"/>
      <c r="G22" s="725"/>
      <c r="H22" s="725"/>
      <c r="I22" s="725"/>
      <c r="J22" s="726"/>
      <c r="K22" s="704"/>
      <c r="L22" s="704"/>
      <c r="M22" s="704"/>
      <c r="N22" s="704"/>
      <c r="O22" s="704"/>
      <c r="P22" s="727"/>
    </row>
    <row r="23" spans="1:16" ht="12.75">
      <c r="A23" s="938" t="str">
        <f>'MEMÓRIAL DE CALCULO'!A181:D181</f>
        <v>VARGEM ALTA. 24 DE JANEIRO DE 2022</v>
      </c>
      <c r="B23" s="939"/>
      <c r="C23" s="939"/>
      <c r="D23" s="939"/>
      <c r="E23" s="939"/>
      <c r="F23" s="939"/>
      <c r="G23" s="939"/>
      <c r="H23" s="939"/>
      <c r="I23" s="939"/>
      <c r="J23" s="630"/>
      <c r="K23" s="705"/>
      <c r="L23" s="705"/>
      <c r="M23" s="705"/>
      <c r="N23" s="705"/>
      <c r="O23" s="705"/>
      <c r="P23" s="730"/>
    </row>
    <row r="24" spans="1:16" ht="12.75">
      <c r="A24" s="728"/>
      <c r="B24" s="729"/>
      <c r="C24" s="729"/>
      <c r="D24" s="729"/>
      <c r="E24" s="729"/>
      <c r="F24" s="729"/>
      <c r="G24" s="729"/>
      <c r="H24" s="729"/>
      <c r="I24" s="729"/>
      <c r="J24" s="630"/>
      <c r="K24" s="705"/>
      <c r="L24" s="705"/>
      <c r="M24" s="705"/>
      <c r="N24" s="705"/>
      <c r="O24" s="705"/>
      <c r="P24" s="730"/>
    </row>
    <row r="25" spans="1:16" ht="12.75">
      <c r="A25" s="728"/>
      <c r="B25" s="729"/>
      <c r="C25" s="729"/>
      <c r="D25" s="729"/>
      <c r="E25" s="729"/>
      <c r="F25" s="729"/>
      <c r="G25" s="729"/>
      <c r="H25" s="729"/>
      <c r="I25" s="729"/>
      <c r="J25" s="630"/>
      <c r="K25" s="705"/>
      <c r="L25" s="705"/>
      <c r="M25" s="705"/>
      <c r="N25" s="705"/>
      <c r="O25" s="705"/>
      <c r="P25" s="730"/>
    </row>
    <row r="26" spans="1:16" ht="12.75">
      <c r="A26" s="728"/>
      <c r="B26" s="729"/>
      <c r="C26" s="729"/>
      <c r="D26" s="729"/>
      <c r="E26" s="729"/>
      <c r="F26" s="729"/>
      <c r="G26" s="729"/>
      <c r="H26" s="729"/>
      <c r="I26" s="729"/>
      <c r="J26" s="630"/>
      <c r="K26" s="705"/>
      <c r="L26" s="705"/>
      <c r="M26" s="705"/>
      <c r="N26" s="705"/>
      <c r="O26" s="705"/>
      <c r="P26" s="730"/>
    </row>
    <row r="27" spans="1:16" ht="12.75">
      <c r="A27" s="731"/>
      <c r="B27" s="632"/>
      <c r="C27" s="632"/>
      <c r="D27" s="632"/>
      <c r="E27" s="632"/>
      <c r="F27" s="632"/>
      <c r="G27" s="632"/>
      <c r="H27" s="632"/>
      <c r="I27" s="632"/>
      <c r="J27" s="630"/>
      <c r="K27" s="705"/>
      <c r="L27" s="705"/>
      <c r="M27" s="705"/>
      <c r="N27" s="705"/>
      <c r="O27" s="705"/>
      <c r="P27" s="730"/>
    </row>
    <row r="28" spans="1:16" ht="12.75">
      <c r="A28" s="731"/>
      <c r="B28" s="632"/>
      <c r="C28" s="632"/>
      <c r="D28" s="632"/>
      <c r="E28" s="632"/>
      <c r="F28" s="632"/>
      <c r="G28" s="632"/>
      <c r="H28" s="632"/>
      <c r="I28" s="632"/>
      <c r="J28" s="630"/>
      <c r="K28" s="705"/>
      <c r="L28" s="705"/>
      <c r="M28" s="705"/>
      <c r="N28" s="705"/>
      <c r="O28" s="705"/>
      <c r="P28" s="730"/>
    </row>
    <row r="29" spans="1:16" ht="12.75">
      <c r="A29" s="731"/>
      <c r="B29" s="632"/>
      <c r="C29" s="632"/>
      <c r="D29" s="632"/>
      <c r="E29" s="632"/>
      <c r="F29" s="632"/>
      <c r="G29" s="632"/>
      <c r="H29" s="632"/>
      <c r="I29" s="632"/>
      <c r="J29" s="630"/>
      <c r="K29" s="705"/>
      <c r="L29" s="705"/>
      <c r="M29" s="705"/>
      <c r="N29" s="705"/>
      <c r="O29" s="705"/>
      <c r="P29" s="730"/>
    </row>
    <row r="30" spans="1:16" ht="14.25">
      <c r="A30" s="732"/>
      <c r="B30" s="733"/>
      <c r="C30" s="614"/>
      <c r="D30" s="614"/>
      <c r="E30" s="614"/>
      <c r="F30" s="614"/>
      <c r="G30" s="614"/>
      <c r="H30" s="614"/>
      <c r="I30" s="614"/>
      <c r="J30" s="942"/>
      <c r="K30" s="942"/>
      <c r="L30" s="942"/>
      <c r="M30" s="942"/>
      <c r="N30" s="705"/>
      <c r="O30" s="705"/>
      <c r="P30" s="730"/>
    </row>
    <row r="31" spans="1:16" ht="12.75">
      <c r="A31" s="732"/>
      <c r="B31" s="733"/>
      <c r="C31" s="614"/>
      <c r="D31" s="614"/>
      <c r="E31" s="945" t="s">
        <v>948</v>
      </c>
      <c r="F31" s="945"/>
      <c r="G31" s="945"/>
      <c r="H31" s="945"/>
      <c r="I31" s="614"/>
      <c r="J31" s="866" t="s">
        <v>1022</v>
      </c>
      <c r="K31" s="866"/>
      <c r="L31" s="866"/>
      <c r="M31" s="866"/>
      <c r="N31" s="706"/>
      <c r="O31" s="706"/>
      <c r="P31" s="734"/>
    </row>
    <row r="32" spans="1:16" ht="13.5" thickBot="1">
      <c r="A32" s="735"/>
      <c r="B32" s="736"/>
      <c r="C32" s="737"/>
      <c r="D32" s="737"/>
      <c r="E32" s="946" t="s">
        <v>949</v>
      </c>
      <c r="F32" s="946"/>
      <c r="G32" s="946"/>
      <c r="H32" s="946"/>
      <c r="I32" s="737"/>
      <c r="J32" s="947" t="s">
        <v>955</v>
      </c>
      <c r="K32" s="947"/>
      <c r="L32" s="947"/>
      <c r="M32" s="947"/>
      <c r="N32" s="744"/>
      <c r="O32" s="744"/>
      <c r="P32" s="745"/>
    </row>
    <row r="34" ht="12.75">
      <c r="M34" s="401" t="s">
        <v>1023</v>
      </c>
    </row>
  </sheetData>
  <sheetProtection/>
  <mergeCells count="38">
    <mergeCell ref="E31:H31"/>
    <mergeCell ref="J31:M31"/>
    <mergeCell ref="E32:H32"/>
    <mergeCell ref="J32:M32"/>
    <mergeCell ref="N19:O19"/>
    <mergeCell ref="J15:K15"/>
    <mergeCell ref="K20:O20"/>
    <mergeCell ref="C16:I16"/>
    <mergeCell ref="J16:K16"/>
    <mergeCell ref="A17:L17"/>
    <mergeCell ref="A21:B21"/>
    <mergeCell ref="K21:O21"/>
    <mergeCell ref="A23:I23"/>
    <mergeCell ref="A20:B20"/>
    <mergeCell ref="A19:B19"/>
    <mergeCell ref="J30:M30"/>
    <mergeCell ref="C19:I19"/>
    <mergeCell ref="K19:L19"/>
    <mergeCell ref="A16:B16"/>
    <mergeCell ref="A6:P6"/>
    <mergeCell ref="A8:P8"/>
    <mergeCell ref="C9:I9"/>
    <mergeCell ref="C18:I18"/>
    <mergeCell ref="A12:N12"/>
    <mergeCell ref="O12:P12"/>
    <mergeCell ref="C13:I13"/>
    <mergeCell ref="A14:B14"/>
    <mergeCell ref="C14:I14"/>
    <mergeCell ref="A1:P2"/>
    <mergeCell ref="C10:I10"/>
    <mergeCell ref="A11:B11"/>
    <mergeCell ref="C11:I11"/>
    <mergeCell ref="A15:B15"/>
    <mergeCell ref="C15:I15"/>
    <mergeCell ref="A3:P3"/>
    <mergeCell ref="B5:I5"/>
    <mergeCell ref="J4:P4"/>
    <mergeCell ref="J14:K1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AB200"/>
  <sheetViews>
    <sheetView view="pageBreakPreview" zoomScaleNormal="75" zoomScaleSheetLayoutView="100" zoomScalePageLayoutView="0" workbookViewId="0" topLeftCell="C4">
      <selection activeCell="R62" sqref="R62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3" width="5.140625" style="508" bestFit="1" customWidth="1"/>
    <col min="4" max="4" width="6.7109375" style="0" customWidth="1"/>
    <col min="5" max="5" width="5.28125" style="0" bestFit="1" customWidth="1"/>
    <col min="6" max="6" width="6.7109375" style="0" customWidth="1"/>
    <col min="7" max="7" width="5.00390625" style="0" bestFit="1" customWidth="1"/>
    <col min="8" max="8" width="6.7109375" style="0" customWidth="1"/>
    <col min="9" max="9" width="6.28125" style="0" bestFit="1" customWidth="1"/>
    <col min="10" max="10" width="6.7109375" style="0" customWidth="1"/>
    <col min="11" max="11" width="5.421875" style="0" bestFit="1" customWidth="1"/>
    <col min="12" max="12" width="6.7109375" style="0" customWidth="1"/>
    <col min="13" max="13" width="6.140625" style="0" bestFit="1" customWidth="1"/>
    <col min="14" max="14" width="6.7109375" style="0" customWidth="1"/>
    <col min="15" max="15" width="4.57421875" style="0" bestFit="1" customWidth="1"/>
    <col min="16" max="16" width="6.7109375" style="0" customWidth="1"/>
    <col min="17" max="17" width="4.57421875" style="0" bestFit="1" customWidth="1"/>
    <col min="18" max="18" width="6.7109375" style="0" customWidth="1"/>
    <col min="19" max="19" width="4.57421875" style="0" bestFit="1" customWidth="1"/>
    <col min="20" max="20" width="6.140625" style="0" customWidth="1"/>
    <col min="21" max="21" width="5.421875" style="0" customWidth="1"/>
    <col min="22" max="22" width="6.421875" style="0" customWidth="1"/>
    <col min="23" max="23" width="6.7109375" style="0" customWidth="1"/>
    <col min="24" max="24" width="6.57421875" style="0" customWidth="1"/>
    <col min="25" max="25" width="5.421875" style="0" customWidth="1"/>
    <col min="26" max="26" width="6.57421875" style="0" customWidth="1"/>
    <col min="27" max="27" width="8.28125" style="0" customWidth="1"/>
    <col min="28" max="28" width="11.7109375" style="0" customWidth="1"/>
  </cols>
  <sheetData>
    <row r="1" spans="1:28" ht="35.25" customHeight="1">
      <c r="A1" s="954"/>
      <c r="B1" s="955"/>
      <c r="C1" s="955"/>
      <c r="D1" s="955"/>
      <c r="E1" s="955"/>
      <c r="F1" s="955"/>
      <c r="G1" s="955"/>
      <c r="H1" s="955"/>
      <c r="I1" s="958" t="s">
        <v>227</v>
      </c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590"/>
      <c r="X1" s="591"/>
      <c r="Y1" s="591"/>
      <c r="Z1" s="591"/>
      <c r="AA1" s="592"/>
      <c r="AB1" s="593"/>
    </row>
    <row r="2" spans="1:28" ht="25.5" customHeight="1">
      <c r="A2" s="956"/>
      <c r="B2" s="957"/>
      <c r="C2" s="957"/>
      <c r="D2" s="957"/>
      <c r="E2" s="957"/>
      <c r="F2" s="957"/>
      <c r="G2" s="957"/>
      <c r="H2" s="957"/>
      <c r="I2" s="959"/>
      <c r="J2" s="959"/>
      <c r="K2" s="959"/>
      <c r="L2" s="959"/>
      <c r="M2" s="959"/>
      <c r="N2" s="959"/>
      <c r="O2" s="959"/>
      <c r="P2" s="959"/>
      <c r="Q2" s="959"/>
      <c r="R2" s="959"/>
      <c r="S2" s="959"/>
      <c r="T2" s="959"/>
      <c r="U2" s="959"/>
      <c r="V2" s="959"/>
      <c r="W2" s="594"/>
      <c r="X2" s="966" t="s">
        <v>678</v>
      </c>
      <c r="Y2" s="966"/>
      <c r="Z2" s="966"/>
      <c r="AA2" s="967"/>
      <c r="AB2" s="595"/>
    </row>
    <row r="3" spans="1:28" ht="12" customHeight="1">
      <c r="A3" s="956"/>
      <c r="B3" s="957"/>
      <c r="C3" s="957"/>
      <c r="D3" s="957"/>
      <c r="E3" s="957"/>
      <c r="F3" s="957"/>
      <c r="G3" s="957"/>
      <c r="H3" s="957"/>
      <c r="I3" s="959"/>
      <c r="J3" s="959"/>
      <c r="K3" s="959"/>
      <c r="L3" s="959"/>
      <c r="M3" s="959"/>
      <c r="N3" s="959"/>
      <c r="O3" s="959"/>
      <c r="P3" s="959"/>
      <c r="Q3" s="959"/>
      <c r="R3" s="959"/>
      <c r="S3" s="959"/>
      <c r="T3" s="959"/>
      <c r="U3" s="959"/>
      <c r="V3" s="959"/>
      <c r="W3" s="1012" t="s">
        <v>216</v>
      </c>
      <c r="X3" s="1012"/>
      <c r="Y3" s="1012"/>
      <c r="Z3" s="1012"/>
      <c r="AA3" s="1012"/>
      <c r="AB3" s="61">
        <v>0.2644</v>
      </c>
    </row>
    <row r="4" spans="1:28" ht="15.75">
      <c r="A4" s="999" t="s">
        <v>677</v>
      </c>
      <c r="B4" s="1000"/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  <c r="Y4" s="1000"/>
      <c r="Z4" s="1000"/>
      <c r="AA4" s="1000"/>
      <c r="AB4" s="1001"/>
    </row>
    <row r="5" spans="1:28" ht="12.75">
      <c r="A5" s="1002" t="s">
        <v>72</v>
      </c>
      <c r="B5" s="1004" t="s">
        <v>228</v>
      </c>
      <c r="C5" s="1006" t="s">
        <v>217</v>
      </c>
      <c r="D5" s="1006"/>
      <c r="E5" s="1006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6"/>
      <c r="W5" s="1006"/>
      <c r="X5" s="1006"/>
      <c r="Y5" s="1006"/>
      <c r="Z5" s="1006"/>
      <c r="AA5" s="1006" t="s">
        <v>218</v>
      </c>
      <c r="AB5" s="1007"/>
    </row>
    <row r="6" spans="1:28" ht="12.75">
      <c r="A6" s="1002"/>
      <c r="B6" s="1004"/>
      <c r="C6" s="960" t="s">
        <v>78</v>
      </c>
      <c r="D6" s="960"/>
      <c r="E6" s="960" t="s">
        <v>79</v>
      </c>
      <c r="F6" s="960"/>
      <c r="G6" s="960" t="s">
        <v>80</v>
      </c>
      <c r="H6" s="960"/>
      <c r="I6" s="960" t="s">
        <v>81</v>
      </c>
      <c r="J6" s="960"/>
      <c r="K6" s="960" t="s">
        <v>90</v>
      </c>
      <c r="L6" s="960"/>
      <c r="M6" s="960" t="s">
        <v>94</v>
      </c>
      <c r="N6" s="960"/>
      <c r="O6" s="960" t="s">
        <v>66</v>
      </c>
      <c r="P6" s="960"/>
      <c r="Q6" s="960" t="s">
        <v>67</v>
      </c>
      <c r="R6" s="960"/>
      <c r="S6" s="960" t="s">
        <v>68</v>
      </c>
      <c r="T6" s="960"/>
      <c r="U6" s="960" t="s">
        <v>69</v>
      </c>
      <c r="V6" s="960"/>
      <c r="W6" s="960" t="s">
        <v>70</v>
      </c>
      <c r="X6" s="960"/>
      <c r="Y6" s="960" t="s">
        <v>71</v>
      </c>
      <c r="Z6" s="960"/>
      <c r="AA6" s="1008" t="s">
        <v>233</v>
      </c>
      <c r="AB6" s="1010" t="s">
        <v>232</v>
      </c>
    </row>
    <row r="7" spans="1:28" ht="24.75" thickBot="1">
      <c r="A7" s="1003"/>
      <c r="B7" s="1005"/>
      <c r="C7" s="503" t="s">
        <v>233</v>
      </c>
      <c r="D7" s="62" t="s">
        <v>220</v>
      </c>
      <c r="E7" s="62" t="s">
        <v>233</v>
      </c>
      <c r="F7" s="62" t="s">
        <v>220</v>
      </c>
      <c r="G7" s="62" t="s">
        <v>233</v>
      </c>
      <c r="H7" s="62" t="s">
        <v>220</v>
      </c>
      <c r="I7" s="62" t="s">
        <v>233</v>
      </c>
      <c r="J7" s="62" t="s">
        <v>220</v>
      </c>
      <c r="K7" s="62" t="s">
        <v>233</v>
      </c>
      <c r="L7" s="62" t="s">
        <v>220</v>
      </c>
      <c r="M7" s="62" t="s">
        <v>233</v>
      </c>
      <c r="N7" s="62" t="s">
        <v>220</v>
      </c>
      <c r="O7" s="62" t="s">
        <v>233</v>
      </c>
      <c r="P7" s="62" t="s">
        <v>220</v>
      </c>
      <c r="Q7" s="62" t="s">
        <v>233</v>
      </c>
      <c r="R7" s="62" t="s">
        <v>220</v>
      </c>
      <c r="S7" s="62" t="s">
        <v>233</v>
      </c>
      <c r="T7" s="62" t="s">
        <v>220</v>
      </c>
      <c r="U7" s="62" t="s">
        <v>233</v>
      </c>
      <c r="V7" s="62" t="s">
        <v>220</v>
      </c>
      <c r="W7" s="62" t="s">
        <v>233</v>
      </c>
      <c r="X7" s="62" t="s">
        <v>220</v>
      </c>
      <c r="Y7" s="62" t="s">
        <v>233</v>
      </c>
      <c r="Z7" s="62" t="s">
        <v>220</v>
      </c>
      <c r="AA7" s="1009"/>
      <c r="AB7" s="1011"/>
    </row>
    <row r="8" spans="1:28" ht="12.75">
      <c r="A8" s="961" t="s">
        <v>585</v>
      </c>
      <c r="B8" s="963" t="s">
        <v>74</v>
      </c>
      <c r="C8" s="37" t="e">
        <f>(AA8*C9)</f>
        <v>#REF!</v>
      </c>
      <c r="D8" s="38">
        <f>AB8*C9</f>
        <v>39463.65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9"/>
      <c r="S8" s="37"/>
      <c r="T8" s="39"/>
      <c r="U8" s="39"/>
      <c r="V8" s="39"/>
      <c r="W8" s="39"/>
      <c r="X8" s="39"/>
      <c r="Y8" s="39"/>
      <c r="Z8" s="39"/>
      <c r="AA8" s="40" t="e">
        <f>(AB8/$AB$42)</f>
        <v>#REF!</v>
      </c>
      <c r="AB8" s="968">
        <f>'PLANILHA ORÇAMENTÁRIA'!H20</f>
        <v>39463.65</v>
      </c>
    </row>
    <row r="9" spans="1:28" ht="12.75">
      <c r="A9" s="962"/>
      <c r="B9" s="963"/>
      <c r="C9" s="964">
        <v>1</v>
      </c>
      <c r="D9" s="964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41"/>
      <c r="R9" s="41"/>
      <c r="S9" s="41"/>
      <c r="T9" s="41"/>
      <c r="U9" s="41"/>
      <c r="V9" s="41"/>
      <c r="W9" s="41"/>
      <c r="X9" s="41"/>
      <c r="Y9" s="41"/>
      <c r="Z9" s="41"/>
      <c r="AA9" s="52">
        <v>1</v>
      </c>
      <c r="AB9" s="969"/>
    </row>
    <row r="10" spans="1:28" ht="12.75">
      <c r="A10" s="961" t="s">
        <v>588</v>
      </c>
      <c r="B10" s="963" t="e">
        <f>'PLANILHA ORÇAMENTÁRIA'!#REF!</f>
        <v>#REF!</v>
      </c>
      <c r="C10" s="504" t="e">
        <f>(AA10*C11)</f>
        <v>#REF!</v>
      </c>
      <c r="D10" s="38" t="e">
        <f>AB10*C11</f>
        <v>#REF!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42"/>
      <c r="R10" s="43"/>
      <c r="S10" s="42"/>
      <c r="T10" s="43"/>
      <c r="U10" s="42"/>
      <c r="V10" s="43"/>
      <c r="W10" s="37"/>
      <c r="X10" s="39"/>
      <c r="Y10" s="37"/>
      <c r="Z10" s="39"/>
      <c r="AA10" s="40" t="e">
        <f>(AB10/$AB$42)</f>
        <v>#REF!</v>
      </c>
      <c r="AB10" s="968" t="e">
        <f>'PLANILHA ORÇAMENTÁRIA'!#REF!</f>
        <v>#REF!</v>
      </c>
    </row>
    <row r="11" spans="1:28" ht="12.75">
      <c r="A11" s="962"/>
      <c r="B11" s="963"/>
      <c r="C11" s="964">
        <v>1</v>
      </c>
      <c r="D11" s="964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4"/>
      <c r="R11" s="44"/>
      <c r="S11" s="44"/>
      <c r="T11" s="44"/>
      <c r="U11" s="44"/>
      <c r="V11" s="44"/>
      <c r="W11" s="44"/>
      <c r="X11" s="41"/>
      <c r="Y11" s="44"/>
      <c r="Z11" s="41"/>
      <c r="AA11" s="52">
        <v>1</v>
      </c>
      <c r="AB11" s="969"/>
    </row>
    <row r="12" spans="1:28" ht="12.75" customHeight="1">
      <c r="A12" s="961" t="s">
        <v>589</v>
      </c>
      <c r="B12" s="989" t="str">
        <f>'PLANILHA ORÇAMENTÁRIA'!D21</f>
        <v>INFRA-ESTRUTURA</v>
      </c>
      <c r="C12" s="504" t="e">
        <f>(AA12*C13)</f>
        <v>#REF!</v>
      </c>
      <c r="D12" s="38">
        <f>AB12*C13</f>
        <v>55861.213500000005</v>
      </c>
      <c r="E12" s="37" t="e">
        <f>(AA12*E13)</f>
        <v>#REF!</v>
      </c>
      <c r="F12" s="38">
        <f>AB12*E13</f>
        <v>68274.81650000002</v>
      </c>
      <c r="G12" s="37"/>
      <c r="H12" s="38"/>
      <c r="I12" s="36"/>
      <c r="J12" s="36"/>
      <c r="K12" s="36"/>
      <c r="L12" s="36"/>
      <c r="M12" s="36"/>
      <c r="N12" s="36"/>
      <c r="O12" s="36"/>
      <c r="P12" s="36"/>
      <c r="Q12" s="42"/>
      <c r="R12" s="43"/>
      <c r="S12" s="42"/>
      <c r="T12" s="43"/>
      <c r="U12" s="42"/>
      <c r="V12" s="43"/>
      <c r="W12" s="42"/>
      <c r="X12" s="45"/>
      <c r="Y12" s="46"/>
      <c r="Z12" s="46"/>
      <c r="AA12" s="40" t="e">
        <f>(AB12/$AB$42)</f>
        <v>#REF!</v>
      </c>
      <c r="AB12" s="968">
        <f>'PLANILHA ORÇAMENTÁRIA'!H28</f>
        <v>124136.03000000001</v>
      </c>
    </row>
    <row r="13" spans="1:28" ht="12.75">
      <c r="A13" s="962"/>
      <c r="B13" s="990"/>
      <c r="C13" s="964">
        <v>0.45</v>
      </c>
      <c r="D13" s="964"/>
      <c r="E13" s="964">
        <v>0.55</v>
      </c>
      <c r="F13" s="964"/>
      <c r="G13" s="575"/>
      <c r="H13" s="574"/>
      <c r="I13" s="36"/>
      <c r="J13" s="36"/>
      <c r="K13" s="36"/>
      <c r="L13" s="36"/>
      <c r="M13" s="36"/>
      <c r="N13" s="36"/>
      <c r="O13" s="36"/>
      <c r="P13" s="36"/>
      <c r="Q13" s="44"/>
      <c r="R13" s="44"/>
      <c r="S13" s="44"/>
      <c r="T13" s="44"/>
      <c r="U13" s="44"/>
      <c r="V13" s="44"/>
      <c r="W13" s="44"/>
      <c r="X13" s="41"/>
      <c r="Y13" s="46"/>
      <c r="Z13" s="46"/>
      <c r="AA13" s="52">
        <v>1</v>
      </c>
      <c r="AB13" s="969"/>
    </row>
    <row r="14" spans="1:28" ht="12.75">
      <c r="A14" s="572" t="s">
        <v>590</v>
      </c>
      <c r="B14" s="36" t="s">
        <v>674</v>
      </c>
      <c r="C14" s="573"/>
      <c r="D14" s="573"/>
      <c r="E14" s="573"/>
      <c r="F14" s="573"/>
      <c r="G14" s="573"/>
      <c r="H14" s="573"/>
      <c r="I14" s="36"/>
      <c r="J14" s="36"/>
      <c r="K14" s="36"/>
      <c r="L14" s="36"/>
      <c r="M14" s="36"/>
      <c r="N14" s="36"/>
      <c r="O14" s="36"/>
      <c r="P14" s="36"/>
      <c r="Q14" s="44"/>
      <c r="R14" s="44"/>
      <c r="S14" s="44"/>
      <c r="T14" s="44"/>
      <c r="U14" s="44"/>
      <c r="V14" s="44"/>
      <c r="W14" s="44"/>
      <c r="X14" s="41"/>
      <c r="Y14" s="46"/>
      <c r="Z14" s="46"/>
      <c r="AA14" s="52"/>
      <c r="AB14" s="571">
        <f>'PLANILHA ORÇAMENTÁRIA'!H39</f>
        <v>107123.06999999999</v>
      </c>
    </row>
    <row r="15" spans="1:28" ht="24.75" customHeight="1">
      <c r="A15" s="572" t="s">
        <v>594</v>
      </c>
      <c r="B15" s="36" t="s">
        <v>675</v>
      </c>
      <c r="C15" s="573"/>
      <c r="D15" s="573"/>
      <c r="E15" s="573"/>
      <c r="F15" s="573"/>
      <c r="G15" s="573"/>
      <c r="H15" s="573"/>
      <c r="I15" s="36"/>
      <c r="J15" s="36"/>
      <c r="K15" s="36"/>
      <c r="L15" s="36"/>
      <c r="M15" s="36"/>
      <c r="N15" s="36"/>
      <c r="O15" s="36"/>
      <c r="P15" s="36"/>
      <c r="Q15" s="44"/>
      <c r="R15" s="44"/>
      <c r="S15" s="44"/>
      <c r="T15" s="44"/>
      <c r="U15" s="44"/>
      <c r="V15" s="44"/>
      <c r="W15" s="44"/>
      <c r="X15" s="41"/>
      <c r="Y15" s="46"/>
      <c r="Z15" s="46"/>
      <c r="AA15" s="52"/>
      <c r="AB15" s="571">
        <f>'PLANILHA ORÇAMENTÁRIA'!H51</f>
        <v>62015.719999999994</v>
      </c>
    </row>
    <row r="16" spans="1:28" ht="12.75">
      <c r="A16" s="961" t="s">
        <v>596</v>
      </c>
      <c r="B16" s="963" t="str">
        <f>'PLANILHA ORÇAMENTÁRIA'!D52</f>
        <v>COBERTURA</v>
      </c>
      <c r="C16" s="505"/>
      <c r="D16" s="36"/>
      <c r="E16" s="36"/>
      <c r="F16" s="36"/>
      <c r="G16" s="50"/>
      <c r="H16" s="50"/>
      <c r="I16" s="37" t="e">
        <f>(AA16*I17)</f>
        <v>#REF!</v>
      </c>
      <c r="J16" s="38">
        <f>AB16*I17</f>
        <v>76717.12000000001</v>
      </c>
      <c r="K16" s="37" t="e">
        <f>(AA16*K17)</f>
        <v>#REF!</v>
      </c>
      <c r="L16" s="38">
        <f>AB16*K17</f>
        <v>19179.280000000002</v>
      </c>
      <c r="M16" s="37"/>
      <c r="N16" s="38"/>
      <c r="O16" s="36"/>
      <c r="P16" s="36"/>
      <c r="Q16" s="36"/>
      <c r="R16" s="36"/>
      <c r="S16" s="46"/>
      <c r="T16" s="47"/>
      <c r="U16" s="42"/>
      <c r="V16" s="43"/>
      <c r="W16" s="42"/>
      <c r="X16" s="43"/>
      <c r="Y16" s="46"/>
      <c r="Z16" s="46"/>
      <c r="AA16" s="40" t="e">
        <f>(AB16/$AB$42)</f>
        <v>#REF!</v>
      </c>
      <c r="AB16" s="968">
        <f>'PLANILHA ORÇAMENTÁRIA'!H58</f>
        <v>95896.40000000001</v>
      </c>
    </row>
    <row r="17" spans="1:28" ht="12.75">
      <c r="A17" s="962"/>
      <c r="B17" s="963"/>
      <c r="C17" s="505"/>
      <c r="D17" s="36"/>
      <c r="E17" s="36"/>
      <c r="F17" s="36"/>
      <c r="G17" s="50"/>
      <c r="H17" s="50"/>
      <c r="I17" s="964">
        <v>0.8</v>
      </c>
      <c r="J17" s="964"/>
      <c r="K17" s="964">
        <v>0.2</v>
      </c>
      <c r="L17" s="964"/>
      <c r="M17" s="965"/>
      <c r="N17" s="965"/>
      <c r="O17" s="36"/>
      <c r="P17" s="36"/>
      <c r="Q17" s="36"/>
      <c r="R17" s="36"/>
      <c r="S17" s="46"/>
      <c r="T17" s="47"/>
      <c r="U17" s="44"/>
      <c r="V17" s="44"/>
      <c r="W17" s="44"/>
      <c r="X17" s="44"/>
      <c r="Y17" s="46"/>
      <c r="Z17" s="46"/>
      <c r="AA17" s="52">
        <v>1</v>
      </c>
      <c r="AB17" s="969"/>
    </row>
    <row r="18" spans="1:28" ht="12.75">
      <c r="A18" s="961" t="s">
        <v>599</v>
      </c>
      <c r="B18" s="963" t="s">
        <v>19</v>
      </c>
      <c r="C18" s="504"/>
      <c r="D18" s="38"/>
      <c r="E18" s="37"/>
      <c r="F18" s="38"/>
      <c r="G18" s="37"/>
      <c r="H18" s="38"/>
      <c r="I18" s="36"/>
      <c r="J18" s="36"/>
      <c r="K18" s="577" t="e">
        <f>AA18*K19</f>
        <v>#REF!</v>
      </c>
      <c r="L18" s="586">
        <f>AB18*K19</f>
        <v>5551.84</v>
      </c>
      <c r="M18" s="36"/>
      <c r="N18" s="36"/>
      <c r="O18" s="37"/>
      <c r="P18" s="38"/>
      <c r="Q18" s="36"/>
      <c r="R18" s="36"/>
      <c r="S18" s="37"/>
      <c r="T18" s="38"/>
      <c r="U18" s="42"/>
      <c r="V18" s="43"/>
      <c r="W18" s="42"/>
      <c r="X18" s="45"/>
      <c r="Y18" s="42"/>
      <c r="Z18" s="43"/>
      <c r="AA18" s="40" t="e">
        <f>(AB18/$AB$42)</f>
        <v>#REF!</v>
      </c>
      <c r="AB18" s="968">
        <f>'PLANILHA ORÇAMENTÁRIA'!H62</f>
        <v>5551.84</v>
      </c>
    </row>
    <row r="19" spans="1:28" ht="12.75">
      <c r="A19" s="962"/>
      <c r="B19" s="963"/>
      <c r="C19" s="575"/>
      <c r="D19" s="575"/>
      <c r="E19" s="575"/>
      <c r="F19" s="574"/>
      <c r="G19" s="575"/>
      <c r="H19" s="574"/>
      <c r="I19" s="36"/>
      <c r="J19" s="36"/>
      <c r="K19" s="984">
        <v>1</v>
      </c>
      <c r="L19" s="985"/>
      <c r="M19" s="36"/>
      <c r="N19" s="36"/>
      <c r="O19" s="41"/>
      <c r="P19" s="48"/>
      <c r="Q19" s="36"/>
      <c r="R19" s="36"/>
      <c r="S19" s="41"/>
      <c r="T19" s="48"/>
      <c r="U19" s="44"/>
      <c r="V19" s="44"/>
      <c r="W19" s="44"/>
      <c r="X19" s="41"/>
      <c r="Y19" s="44"/>
      <c r="Z19" s="44"/>
      <c r="AA19" s="52">
        <v>1</v>
      </c>
      <c r="AB19" s="969"/>
    </row>
    <row r="20" spans="1:28" ht="12.75">
      <c r="A20" s="961" t="s">
        <v>601</v>
      </c>
      <c r="B20" s="963" t="s">
        <v>84</v>
      </c>
      <c r="C20" s="505"/>
      <c r="D20" s="36"/>
      <c r="E20" s="577"/>
      <c r="F20" s="579"/>
      <c r="G20" s="37" t="e">
        <f>(AA20*G21)</f>
        <v>#REF!</v>
      </c>
      <c r="H20" s="38">
        <f>AB20*G21</f>
        <v>19867.554</v>
      </c>
      <c r="I20" s="580" t="e">
        <f>AA20*I21</f>
        <v>#REF!</v>
      </c>
      <c r="J20" s="581">
        <f>AB20*I21</f>
        <v>15452.541999999998</v>
      </c>
      <c r="K20" s="577" t="e">
        <f>AA20*K21</f>
        <v>#REF!</v>
      </c>
      <c r="L20" s="579">
        <f>AB20*K21</f>
        <v>8830.024</v>
      </c>
      <c r="M20" s="36"/>
      <c r="N20" s="36"/>
      <c r="O20" s="42"/>
      <c r="P20" s="43"/>
      <c r="Q20" s="37"/>
      <c r="R20" s="39"/>
      <c r="S20" s="36"/>
      <c r="T20" s="36"/>
      <c r="U20" s="42"/>
      <c r="V20" s="43"/>
      <c r="W20" s="37"/>
      <c r="X20" s="39"/>
      <c r="Y20" s="39"/>
      <c r="Z20" s="39"/>
      <c r="AA20" s="40" t="e">
        <f>(AB20/$AB$42)</f>
        <v>#REF!</v>
      </c>
      <c r="AB20" s="968">
        <f>'PLANILHA ORÇAMENTÁRIA'!H66</f>
        <v>44150.119999999995</v>
      </c>
    </row>
    <row r="21" spans="1:28" ht="12.75">
      <c r="A21" s="962"/>
      <c r="B21" s="963"/>
      <c r="C21" s="505"/>
      <c r="D21" s="36"/>
      <c r="E21" s="575"/>
      <c r="F21" s="574"/>
      <c r="G21" s="964">
        <v>0.45</v>
      </c>
      <c r="H21" s="964"/>
      <c r="I21" s="964">
        <v>0.35</v>
      </c>
      <c r="J21" s="964"/>
      <c r="K21" s="964">
        <v>0.2</v>
      </c>
      <c r="L21" s="964"/>
      <c r="M21" s="36"/>
      <c r="N21" s="36"/>
      <c r="O21" s="44"/>
      <c r="P21" s="44"/>
      <c r="Q21" s="41"/>
      <c r="R21" s="41"/>
      <c r="S21" s="36"/>
      <c r="T21" s="36"/>
      <c r="U21" s="44"/>
      <c r="V21" s="44"/>
      <c r="W21" s="41"/>
      <c r="X21" s="41"/>
      <c r="Y21" s="41"/>
      <c r="Z21" s="41"/>
      <c r="AA21" s="52">
        <v>1</v>
      </c>
      <c r="AB21" s="969"/>
    </row>
    <row r="22" spans="1:28" ht="12.75">
      <c r="A22" s="961" t="s">
        <v>622</v>
      </c>
      <c r="B22" s="963" t="s">
        <v>676</v>
      </c>
      <c r="C22" s="505"/>
      <c r="D22" s="36"/>
      <c r="E22" s="36"/>
      <c r="F22" s="36"/>
      <c r="G22" s="36"/>
      <c r="H22" s="36"/>
      <c r="I22" s="36"/>
      <c r="J22" s="36"/>
      <c r="K22" s="36"/>
      <c r="L22" s="36"/>
      <c r="M22" s="577" t="e">
        <f>AA22*M23</f>
        <v>#REF!</v>
      </c>
      <c r="N22" s="579">
        <f>AB22*M23</f>
        <v>23230.88</v>
      </c>
      <c r="O22" s="37" t="e">
        <f>(AA22*O23)</f>
        <v>#REF!</v>
      </c>
      <c r="P22" s="38">
        <f>AB22*O23</f>
        <v>41815.584</v>
      </c>
      <c r="Q22" s="37" t="e">
        <f>(AA22*Q23)</f>
        <v>#REF!</v>
      </c>
      <c r="R22" s="38">
        <f>AB22*Q23</f>
        <v>18584.704</v>
      </c>
      <c r="S22" s="42"/>
      <c r="T22" s="43"/>
      <c r="U22" s="42"/>
      <c r="V22" s="43"/>
      <c r="W22" s="42" t="e">
        <f>AA22*W23</f>
        <v>#REF!</v>
      </c>
      <c r="X22" s="43">
        <f>AB22*W23</f>
        <v>9292.352</v>
      </c>
      <c r="Y22" s="37"/>
      <c r="Z22" s="39"/>
      <c r="AA22" s="40" t="e">
        <f>(AB22/$AB$42)</f>
        <v>#REF!</v>
      </c>
      <c r="AB22" s="968">
        <f>'PLANILHA ORÇAMENTÁRIA'!H73</f>
        <v>92923.52</v>
      </c>
    </row>
    <row r="23" spans="1:28" ht="12.75">
      <c r="A23" s="962"/>
      <c r="B23" s="963"/>
      <c r="C23" s="505"/>
      <c r="D23" s="36"/>
      <c r="E23" s="36"/>
      <c r="F23" s="36"/>
      <c r="G23" s="36"/>
      <c r="H23" s="36"/>
      <c r="I23" s="36"/>
      <c r="J23" s="36"/>
      <c r="K23" s="36"/>
      <c r="L23" s="36"/>
      <c r="M23" s="964">
        <v>0.25</v>
      </c>
      <c r="N23" s="964"/>
      <c r="O23" s="964">
        <v>0.45</v>
      </c>
      <c r="P23" s="964"/>
      <c r="Q23" s="964">
        <v>0.2</v>
      </c>
      <c r="R23" s="964"/>
      <c r="S23" s="44"/>
      <c r="T23" s="44"/>
      <c r="U23" s="44"/>
      <c r="V23" s="44"/>
      <c r="W23" s="964">
        <v>0.1</v>
      </c>
      <c r="X23" s="964"/>
      <c r="Y23" s="44"/>
      <c r="Z23" s="41"/>
      <c r="AA23" s="52">
        <v>1</v>
      </c>
      <c r="AB23" s="969"/>
    </row>
    <row r="24" spans="1:28" ht="12.75">
      <c r="A24" s="961" t="s">
        <v>625</v>
      </c>
      <c r="B24" s="963" t="s">
        <v>86</v>
      </c>
      <c r="C24" s="504"/>
      <c r="D24" s="38"/>
      <c r="E24" s="37"/>
      <c r="F24" s="38"/>
      <c r="G24" s="36"/>
      <c r="H24" s="36"/>
      <c r="I24" s="36"/>
      <c r="J24" s="36"/>
      <c r="K24" s="36"/>
      <c r="L24" s="36"/>
      <c r="M24" s="36"/>
      <c r="N24" s="36"/>
      <c r="O24" s="49"/>
      <c r="P24" s="49"/>
      <c r="Q24" s="37" t="e">
        <f>(AA24*Q25)</f>
        <v>#REF!</v>
      </c>
      <c r="R24" s="38">
        <f>AB24*Q25</f>
        <v>38784.64000000001</v>
      </c>
      <c r="S24" s="37" t="e">
        <f>(AA24*S25)</f>
        <v>#REF!</v>
      </c>
      <c r="T24" s="38">
        <f>AB24*S25</f>
        <v>29088.48</v>
      </c>
      <c r="U24" s="37" t="e">
        <f>(AA24*U25)</f>
        <v>#REF!</v>
      </c>
      <c r="V24" s="38">
        <f>AB24*U25</f>
        <v>19392.320000000003</v>
      </c>
      <c r="W24" s="580" t="e">
        <f>AA24*W25</f>
        <v>#REF!</v>
      </c>
      <c r="X24" s="581">
        <f>AB24*W25</f>
        <v>9696.160000000002</v>
      </c>
      <c r="Y24" s="46"/>
      <c r="Z24" s="46"/>
      <c r="AA24" s="40" t="e">
        <f>(AB24/$AB$42)</f>
        <v>#REF!</v>
      </c>
      <c r="AB24" s="968">
        <f>'PLANILHA ORÇAMENTÁRIA'!H84</f>
        <v>96961.6</v>
      </c>
    </row>
    <row r="25" spans="1:28" ht="12.75">
      <c r="A25" s="962"/>
      <c r="B25" s="963"/>
      <c r="C25" s="575"/>
      <c r="D25" s="574"/>
      <c r="E25" s="575"/>
      <c r="F25" s="574"/>
      <c r="G25" s="36"/>
      <c r="H25" s="36"/>
      <c r="I25" s="36"/>
      <c r="J25" s="36"/>
      <c r="K25" s="36"/>
      <c r="L25" s="36"/>
      <c r="M25" s="36"/>
      <c r="N25" s="36"/>
      <c r="O25" s="49"/>
      <c r="P25" s="49"/>
      <c r="Q25" s="964">
        <v>0.4</v>
      </c>
      <c r="R25" s="964"/>
      <c r="S25" s="964">
        <v>0.3</v>
      </c>
      <c r="T25" s="964"/>
      <c r="U25" s="964">
        <v>0.2</v>
      </c>
      <c r="V25" s="964"/>
      <c r="W25" s="964">
        <v>0.1</v>
      </c>
      <c r="X25" s="964"/>
      <c r="Y25" s="46"/>
      <c r="Z25" s="46"/>
      <c r="AA25" s="52">
        <v>1</v>
      </c>
      <c r="AB25" s="969"/>
    </row>
    <row r="26" spans="1:28" ht="12.75">
      <c r="A26" s="961" t="s">
        <v>631</v>
      </c>
      <c r="B26" s="963" t="s">
        <v>662</v>
      </c>
      <c r="C26" s="505"/>
      <c r="D26" s="36"/>
      <c r="E26" s="36"/>
      <c r="F26" s="36"/>
      <c r="G26" s="36"/>
      <c r="H26" s="36"/>
      <c r="I26" s="36"/>
      <c r="J26" s="36"/>
      <c r="K26" s="582" t="e">
        <f>AA26*K27</f>
        <v>#REF!</v>
      </c>
      <c r="L26" s="583">
        <f>AB26*K27</f>
        <v>9399.309999999998</v>
      </c>
      <c r="M26" s="36"/>
      <c r="N26" s="36"/>
      <c r="O26" s="42"/>
      <c r="P26" s="43"/>
      <c r="Q26" s="37"/>
      <c r="R26" s="39"/>
      <c r="S26" s="37"/>
      <c r="T26" s="39"/>
      <c r="U26" s="37" t="e">
        <f>(AA26*U27)</f>
        <v>#REF!</v>
      </c>
      <c r="V26" s="38">
        <f>AB26*U27</f>
        <v>18798.619999999995</v>
      </c>
      <c r="W26" s="37" t="e">
        <f>(AA26*W27)</f>
        <v>#REF!</v>
      </c>
      <c r="X26" s="38">
        <f>AB26*W27</f>
        <v>14098.964999999997</v>
      </c>
      <c r="Y26" s="580" t="e">
        <f>AA26*Y27</f>
        <v>#REF!</v>
      </c>
      <c r="Z26" s="581">
        <f>AB26*Y27</f>
        <v>4699.654999999999</v>
      </c>
      <c r="AA26" s="40" t="e">
        <f>(AB26/$AB$42)</f>
        <v>#REF!</v>
      </c>
      <c r="AB26" s="968">
        <f>'PLANILHA ORÇAMENTÁRIA'!H108</f>
        <v>46996.54999999999</v>
      </c>
    </row>
    <row r="27" spans="1:28" ht="12.75">
      <c r="A27" s="962"/>
      <c r="B27" s="963"/>
      <c r="C27" s="505"/>
      <c r="D27" s="36"/>
      <c r="E27" s="36"/>
      <c r="F27" s="36"/>
      <c r="G27" s="36"/>
      <c r="H27" s="36"/>
      <c r="I27" s="36"/>
      <c r="J27" s="36"/>
      <c r="K27" s="964">
        <v>0.2</v>
      </c>
      <c r="L27" s="964"/>
      <c r="M27" s="36"/>
      <c r="N27" s="36"/>
      <c r="O27" s="44"/>
      <c r="P27" s="44"/>
      <c r="Q27" s="41"/>
      <c r="R27" s="41"/>
      <c r="S27" s="41"/>
      <c r="T27" s="41"/>
      <c r="U27" s="964">
        <v>0.4</v>
      </c>
      <c r="V27" s="964"/>
      <c r="W27" s="964">
        <v>0.3</v>
      </c>
      <c r="X27" s="964"/>
      <c r="Y27" s="964">
        <v>0.1</v>
      </c>
      <c r="Z27" s="964"/>
      <c r="AA27" s="52">
        <v>1</v>
      </c>
      <c r="AB27" s="969"/>
    </row>
    <row r="28" spans="1:28" ht="12.75">
      <c r="A28" s="961" t="s">
        <v>642</v>
      </c>
      <c r="B28" s="963" t="s">
        <v>663</v>
      </c>
      <c r="C28" s="505"/>
      <c r="D28" s="36"/>
      <c r="E28" s="36"/>
      <c r="F28" s="36"/>
      <c r="G28" s="36"/>
      <c r="H28" s="36"/>
      <c r="I28" s="36"/>
      <c r="J28" s="36"/>
      <c r="K28" s="577" t="e">
        <f>AA28*K29</f>
        <v>#REF!</v>
      </c>
      <c r="L28" s="578">
        <f>AB28*K29</f>
        <v>6699.150000000001</v>
      </c>
      <c r="M28" s="36"/>
      <c r="N28" s="36"/>
      <c r="O28" s="42"/>
      <c r="P28" s="43"/>
      <c r="Q28" s="37"/>
      <c r="R28" s="38"/>
      <c r="S28" s="37"/>
      <c r="T28" s="38"/>
      <c r="U28" s="37" t="e">
        <f>AA28*U29</f>
        <v>#REF!</v>
      </c>
      <c r="V28" s="38">
        <f>AB28*U29</f>
        <v>13398.300000000001</v>
      </c>
      <c r="W28" s="584" t="e">
        <f>AA28*W29</f>
        <v>#REF!</v>
      </c>
      <c r="X28" s="585">
        <f>AB28*W29</f>
        <v>10048.725</v>
      </c>
      <c r="Y28" s="42" t="e">
        <f>AA28*Y29</f>
        <v>#REF!</v>
      </c>
      <c r="Z28" s="43">
        <f>AB28*Y29</f>
        <v>3349.5750000000003</v>
      </c>
      <c r="AA28" s="40" t="e">
        <f>(AB28/$AB$42)</f>
        <v>#REF!</v>
      </c>
      <c r="AB28" s="968">
        <f>'PLANILHA ORÇAMENTÁRIA'!H137</f>
        <v>33495.75</v>
      </c>
    </row>
    <row r="29" spans="1:28" ht="12.75">
      <c r="A29" s="962"/>
      <c r="B29" s="963"/>
      <c r="C29" s="505"/>
      <c r="D29" s="36"/>
      <c r="E29" s="36"/>
      <c r="F29" s="36"/>
      <c r="G29" s="36"/>
      <c r="H29" s="36"/>
      <c r="I29" s="36"/>
      <c r="J29" s="36"/>
      <c r="K29" s="964">
        <v>0.2</v>
      </c>
      <c r="L29" s="964"/>
      <c r="M29" s="36"/>
      <c r="N29" s="36"/>
      <c r="O29" s="44"/>
      <c r="P29" s="44"/>
      <c r="Q29" s="575"/>
      <c r="R29" s="574"/>
      <c r="S29" s="575"/>
      <c r="T29" s="574"/>
      <c r="U29" s="964">
        <v>0.4</v>
      </c>
      <c r="V29" s="964"/>
      <c r="W29" s="964">
        <v>0.3</v>
      </c>
      <c r="X29" s="964"/>
      <c r="Y29" s="964">
        <v>0.1</v>
      </c>
      <c r="Z29" s="964"/>
      <c r="AA29" s="52">
        <v>1</v>
      </c>
      <c r="AB29" s="969"/>
    </row>
    <row r="30" spans="1:28" ht="12.75">
      <c r="A30" s="961" t="s">
        <v>651</v>
      </c>
      <c r="B30" s="963" t="s">
        <v>661</v>
      </c>
      <c r="C30" s="505"/>
      <c r="D30" s="36"/>
      <c r="E30" s="36"/>
      <c r="F30" s="36"/>
      <c r="G30" s="36"/>
      <c r="H30" s="36"/>
      <c r="I30" s="36"/>
      <c r="J30" s="36"/>
      <c r="K30" s="577" t="e">
        <f>AA30*K31</f>
        <v>#REF!</v>
      </c>
      <c r="L30" s="579" t="e">
        <f>AB30*K31</f>
        <v>#REF!</v>
      </c>
      <c r="M30" s="36"/>
      <c r="N30" s="36"/>
      <c r="O30" s="42"/>
      <c r="P30" s="43"/>
      <c r="Q30" s="37"/>
      <c r="R30" s="38"/>
      <c r="S30" s="37"/>
      <c r="T30" s="38"/>
      <c r="U30" s="37"/>
      <c r="V30" s="38"/>
      <c r="W30" s="50"/>
      <c r="X30" s="50"/>
      <c r="Y30" s="42" t="e">
        <f>AA30*Y31</f>
        <v>#REF!</v>
      </c>
      <c r="Z30" s="43" t="e">
        <f>AB30*Y31</f>
        <v>#REF!</v>
      </c>
      <c r="AA30" s="40" t="e">
        <f>(AB30/$AB$42)</f>
        <v>#REF!</v>
      </c>
      <c r="AB30" s="968" t="e">
        <f>'PLANILHA ORÇAMENTÁRIA'!#REF!</f>
        <v>#REF!</v>
      </c>
    </row>
    <row r="31" spans="1:28" ht="12.75">
      <c r="A31" s="962"/>
      <c r="B31" s="963"/>
      <c r="C31" s="505"/>
      <c r="D31" s="36"/>
      <c r="E31" s="36"/>
      <c r="F31" s="36"/>
      <c r="G31" s="36"/>
      <c r="H31" s="36"/>
      <c r="I31" s="36"/>
      <c r="J31" s="36"/>
      <c r="K31" s="964">
        <v>0.2</v>
      </c>
      <c r="L31" s="964"/>
      <c r="M31" s="36"/>
      <c r="N31" s="36"/>
      <c r="O31" s="44"/>
      <c r="P31" s="44"/>
      <c r="Q31" s="575"/>
      <c r="R31" s="574"/>
      <c r="S31" s="575"/>
      <c r="T31" s="574"/>
      <c r="U31" s="575"/>
      <c r="V31" s="574"/>
      <c r="W31" s="50"/>
      <c r="X31" s="50"/>
      <c r="Y31" s="964">
        <v>0.8</v>
      </c>
      <c r="Z31" s="964"/>
      <c r="AA31" s="52">
        <v>1</v>
      </c>
      <c r="AB31" s="969"/>
    </row>
    <row r="32" spans="1:28" ht="12.75">
      <c r="A32" s="961" t="s">
        <v>649</v>
      </c>
      <c r="B32" s="963" t="s">
        <v>660</v>
      </c>
      <c r="C32" s="505"/>
      <c r="D32" s="36"/>
      <c r="E32" s="50"/>
      <c r="F32" s="50"/>
      <c r="G32" s="36"/>
      <c r="H32" s="36"/>
      <c r="I32" s="36"/>
      <c r="J32" s="36"/>
      <c r="K32" s="576" t="e">
        <f>AA32*K33</f>
        <v>#REF!</v>
      </c>
      <c r="L32" s="586" t="e">
        <f>AB32*K33</f>
        <v>#REF!</v>
      </c>
      <c r="M32" s="44"/>
      <c r="N32" s="44"/>
      <c r="O32" s="36"/>
      <c r="P32" s="36"/>
      <c r="Q32" s="37"/>
      <c r="R32" s="38"/>
      <c r="S32" s="41"/>
      <c r="T32" s="41"/>
      <c r="U32" s="41"/>
      <c r="V32" s="41"/>
      <c r="W32" s="51"/>
      <c r="X32" s="51"/>
      <c r="Y32" s="587" t="e">
        <f>AA32*Y33</f>
        <v>#REF!</v>
      </c>
      <c r="Z32" s="588" t="e">
        <f>AB32*Y33</f>
        <v>#REF!</v>
      </c>
      <c r="AA32" s="40" t="e">
        <f>(AB32/$AB$42)</f>
        <v>#REF!</v>
      </c>
      <c r="AB32" s="968" t="e">
        <f>'PLANILHA ORÇAMENTÁRIA'!#REF!</f>
        <v>#REF!</v>
      </c>
    </row>
    <row r="33" spans="1:28" ht="12.75">
      <c r="A33" s="962"/>
      <c r="B33" s="963"/>
      <c r="C33" s="505"/>
      <c r="D33" s="36"/>
      <c r="E33" s="50"/>
      <c r="F33" s="50"/>
      <c r="G33" s="36"/>
      <c r="H33" s="36"/>
      <c r="I33" s="36"/>
      <c r="J33" s="36"/>
      <c r="K33" s="964">
        <v>0.2</v>
      </c>
      <c r="L33" s="964"/>
      <c r="M33" s="44"/>
      <c r="N33" s="44"/>
      <c r="O33" s="36"/>
      <c r="P33" s="36"/>
      <c r="Q33" s="575"/>
      <c r="R33" s="574"/>
      <c r="S33" s="41"/>
      <c r="T33" s="41"/>
      <c r="U33" s="41"/>
      <c r="V33" s="41"/>
      <c r="W33" s="51"/>
      <c r="X33" s="51"/>
      <c r="Y33" s="964">
        <v>0.8</v>
      </c>
      <c r="Z33" s="964"/>
      <c r="AA33" s="52">
        <v>1</v>
      </c>
      <c r="AB33" s="969"/>
    </row>
    <row r="34" spans="1:28" ht="12.75">
      <c r="A34" s="961" t="s">
        <v>664</v>
      </c>
      <c r="B34" s="963" t="s">
        <v>89</v>
      </c>
      <c r="C34" s="505"/>
      <c r="D34" s="36"/>
      <c r="E34" s="50"/>
      <c r="F34" s="50"/>
      <c r="G34" s="37"/>
      <c r="H34" s="38"/>
      <c r="I34" s="37"/>
      <c r="J34" s="38"/>
      <c r="K34" s="36"/>
      <c r="L34" s="36"/>
      <c r="M34" s="36"/>
      <c r="N34" s="36"/>
      <c r="O34" s="44"/>
      <c r="P34" s="44"/>
      <c r="Q34" s="41"/>
      <c r="R34" s="41"/>
      <c r="S34" s="41"/>
      <c r="T34" s="41"/>
      <c r="U34" s="41"/>
      <c r="V34" s="41"/>
      <c r="W34" s="587" t="e">
        <f>AA34*W35</f>
        <v>#REF!</v>
      </c>
      <c r="X34" s="588">
        <f>AB34*W35</f>
        <v>30593.496</v>
      </c>
      <c r="Y34" s="587" t="e">
        <f>AA34*Y35</f>
        <v>#REF!</v>
      </c>
      <c r="Z34" s="588">
        <f>AB34*Y35</f>
        <v>7648.374</v>
      </c>
      <c r="AA34" s="40" t="e">
        <f>(AB34/$AB$42)</f>
        <v>#REF!</v>
      </c>
      <c r="AB34" s="968">
        <f>'PLANILHA ORÇAMENTÁRIA'!H166</f>
        <v>38241.869999999995</v>
      </c>
    </row>
    <row r="35" spans="1:28" ht="12.75">
      <c r="A35" s="962"/>
      <c r="B35" s="963"/>
      <c r="C35" s="505"/>
      <c r="D35" s="36"/>
      <c r="E35" s="50"/>
      <c r="F35" s="50"/>
      <c r="G35" s="575"/>
      <c r="H35" s="574"/>
      <c r="I35" s="575"/>
      <c r="J35" s="574"/>
      <c r="K35" s="36"/>
      <c r="L35" s="36"/>
      <c r="M35" s="36"/>
      <c r="N35" s="36"/>
      <c r="O35" s="44"/>
      <c r="P35" s="44"/>
      <c r="Q35" s="41"/>
      <c r="R35" s="41"/>
      <c r="S35" s="41"/>
      <c r="T35" s="41"/>
      <c r="U35" s="41"/>
      <c r="V35" s="41"/>
      <c r="W35" s="964">
        <v>0.8</v>
      </c>
      <c r="X35" s="964"/>
      <c r="Y35" s="964">
        <v>0.2</v>
      </c>
      <c r="Z35" s="964"/>
      <c r="AA35" s="52">
        <v>1</v>
      </c>
      <c r="AB35" s="969"/>
    </row>
    <row r="36" spans="1:28" ht="12.75">
      <c r="A36" s="961" t="s">
        <v>666</v>
      </c>
      <c r="B36" s="963" t="s">
        <v>671</v>
      </c>
      <c r="C36" s="505"/>
      <c r="D36" s="36"/>
      <c r="E36" s="50"/>
      <c r="F36" s="50"/>
      <c r="G36" s="36"/>
      <c r="H36" s="36"/>
      <c r="I36" s="37"/>
      <c r="J36" s="38"/>
      <c r="K36" s="37"/>
      <c r="L36" s="38"/>
      <c r="M36" s="577" t="e">
        <f>AA36*M37</f>
        <v>#REF!</v>
      </c>
      <c r="N36" s="579">
        <f>AB36*M37</f>
        <v>6792.216</v>
      </c>
      <c r="O36" s="42" t="e">
        <f>AA36*O37</f>
        <v>#REF!</v>
      </c>
      <c r="P36" s="43">
        <f>AB36*O37</f>
        <v>1698.054</v>
      </c>
      <c r="Q36" s="42"/>
      <c r="R36" s="43"/>
      <c r="S36" s="37"/>
      <c r="T36" s="38"/>
      <c r="U36" s="37"/>
      <c r="V36" s="39"/>
      <c r="W36" s="42"/>
      <c r="X36" s="43"/>
      <c r="Y36" s="42"/>
      <c r="Z36" s="43"/>
      <c r="AA36" s="40" t="e">
        <f>(AB36/$AB$42)</f>
        <v>#REF!</v>
      </c>
      <c r="AB36" s="968">
        <f>'PLANILHA ORÇAMENTÁRIA'!H172</f>
        <v>8490.27</v>
      </c>
    </row>
    <row r="37" spans="1:28" ht="12.75">
      <c r="A37" s="962"/>
      <c r="B37" s="963"/>
      <c r="C37" s="505"/>
      <c r="D37" s="36"/>
      <c r="E37" s="50"/>
      <c r="F37" s="50"/>
      <c r="G37" s="36"/>
      <c r="H37" s="36"/>
      <c r="I37" s="575"/>
      <c r="J37" s="574"/>
      <c r="K37" s="575"/>
      <c r="L37" s="574"/>
      <c r="M37" s="964">
        <v>0.8</v>
      </c>
      <c r="N37" s="964"/>
      <c r="O37" s="964">
        <v>0.2</v>
      </c>
      <c r="P37" s="964"/>
      <c r="Q37" s="44"/>
      <c r="R37" s="44"/>
      <c r="S37" s="575"/>
      <c r="T37" s="574"/>
      <c r="U37" s="44"/>
      <c r="V37" s="41"/>
      <c r="W37" s="44"/>
      <c r="X37" s="44"/>
      <c r="Y37" s="589"/>
      <c r="Z37" s="589"/>
      <c r="AA37" s="52">
        <v>1</v>
      </c>
      <c r="AB37" s="969"/>
    </row>
    <row r="38" spans="1:28" ht="12.75">
      <c r="A38" s="961" t="s">
        <v>668</v>
      </c>
      <c r="B38" s="963" t="s">
        <v>669</v>
      </c>
      <c r="C38" s="50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42"/>
      <c r="P38" s="43"/>
      <c r="Q38" s="42"/>
      <c r="R38" s="43"/>
      <c r="S38" s="42"/>
      <c r="T38" s="43"/>
      <c r="U38" s="42"/>
      <c r="V38" s="43"/>
      <c r="W38" s="37"/>
      <c r="X38" s="38"/>
      <c r="Y38" s="37" t="e">
        <f>AA38*Y39</f>
        <v>#REF!</v>
      </c>
      <c r="Z38" s="38">
        <f>AB38*Y39</f>
        <v>2867.15</v>
      </c>
      <c r="AA38" s="40" t="e">
        <f>(AB38/$AB$42)</f>
        <v>#REF!</v>
      </c>
      <c r="AB38" s="968">
        <f>'PLANILHA ORÇAMENTÁRIA'!H183</f>
        <v>2867.15</v>
      </c>
    </row>
    <row r="39" spans="1:28" ht="12.75">
      <c r="A39" s="962"/>
      <c r="B39" s="963"/>
      <c r="C39" s="50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44"/>
      <c r="P39" s="44"/>
      <c r="Q39" s="44"/>
      <c r="R39" s="44"/>
      <c r="S39" s="44"/>
      <c r="T39" s="44"/>
      <c r="U39" s="44"/>
      <c r="V39" s="44"/>
      <c r="W39" s="575"/>
      <c r="X39" s="574"/>
      <c r="Y39" s="964">
        <v>1</v>
      </c>
      <c r="Z39" s="964"/>
      <c r="AA39" s="52">
        <v>1</v>
      </c>
      <c r="AB39" s="969"/>
    </row>
    <row r="40" spans="1:28" ht="12.75">
      <c r="A40" s="961" t="s">
        <v>670</v>
      </c>
      <c r="B40" s="963" t="s">
        <v>616</v>
      </c>
      <c r="C40" s="577" t="e">
        <f>AA40*C41</f>
        <v>#REF!</v>
      </c>
      <c r="D40" s="579" t="e">
        <f>AB40*C41</f>
        <v>#REF!</v>
      </c>
      <c r="E40" s="580" t="e">
        <f>AA40*E41</f>
        <v>#REF!</v>
      </c>
      <c r="F40" s="581" t="e">
        <f>AB40*E41</f>
        <v>#REF!</v>
      </c>
      <c r="G40" s="37" t="e">
        <f>AA40*G41</f>
        <v>#REF!</v>
      </c>
      <c r="H40" s="38" t="e">
        <f>AB40*G41</f>
        <v>#REF!</v>
      </c>
      <c r="I40" s="37" t="e">
        <f>(AA40*I41)</f>
        <v>#REF!</v>
      </c>
      <c r="J40" s="38" t="e">
        <f>AB40*I41</f>
        <v>#REF!</v>
      </c>
      <c r="K40" s="37" t="e">
        <f>(AA40*K41)</f>
        <v>#REF!</v>
      </c>
      <c r="L40" s="38" t="e">
        <f>AB40*K41</f>
        <v>#REF!</v>
      </c>
      <c r="M40" s="577" t="e">
        <f>AA40*M41</f>
        <v>#REF!</v>
      </c>
      <c r="N40" s="579" t="e">
        <f>AB40*M41</f>
        <v>#REF!</v>
      </c>
      <c r="O40" s="42" t="e">
        <f>AA40*O41</f>
        <v>#REF!</v>
      </c>
      <c r="P40" s="43" t="e">
        <f>AB40*O41</f>
        <v>#REF!</v>
      </c>
      <c r="Q40" s="37" t="e">
        <f>(AA40*Q41)</f>
        <v>#REF!</v>
      </c>
      <c r="R40" s="38" t="e">
        <f>AB40*Q41</f>
        <v>#REF!</v>
      </c>
      <c r="S40" s="37" t="e">
        <f>(AA40*S41)</f>
        <v>#REF!</v>
      </c>
      <c r="T40" s="38" t="e">
        <f>AB40*S41</f>
        <v>#REF!</v>
      </c>
      <c r="U40" s="37" t="e">
        <f>(AA40*U41)</f>
        <v>#REF!</v>
      </c>
      <c r="V40" s="38" t="e">
        <f>AB40*U41</f>
        <v>#REF!</v>
      </c>
      <c r="W40" s="37" t="e">
        <f>AA40*W41</f>
        <v>#REF!</v>
      </c>
      <c r="X40" s="38" t="e">
        <f>AB40*W41</f>
        <v>#REF!</v>
      </c>
      <c r="Y40" s="38" t="e">
        <f>AA40*Y41</f>
        <v>#REF!</v>
      </c>
      <c r="Z40" s="39" t="e">
        <f>AB40*Y41</f>
        <v>#REF!</v>
      </c>
      <c r="AA40" s="40" t="e">
        <f>(AB40/$AB$42)</f>
        <v>#REF!</v>
      </c>
      <c r="AB40" s="968" t="e">
        <f>'PLANILHA ORÇAMENTÁRIA'!#REF!</f>
        <v>#REF!</v>
      </c>
    </row>
    <row r="41" spans="1:28" ht="13.5" thickBot="1">
      <c r="A41" s="962"/>
      <c r="B41" s="963"/>
      <c r="C41" s="964">
        <v>0.0841</v>
      </c>
      <c r="D41" s="964"/>
      <c r="E41" s="964">
        <v>0.0422</v>
      </c>
      <c r="F41" s="964"/>
      <c r="G41" s="964">
        <v>0.0209</v>
      </c>
      <c r="H41" s="964"/>
      <c r="I41" s="964">
        <v>0.044</v>
      </c>
      <c r="J41" s="964"/>
      <c r="K41" s="964">
        <v>0.0483</v>
      </c>
      <c r="L41" s="964"/>
      <c r="M41" s="964">
        <v>0.1366</v>
      </c>
      <c r="N41" s="964"/>
      <c r="O41" s="964">
        <v>0.0871</v>
      </c>
      <c r="P41" s="964"/>
      <c r="Q41" s="964">
        <v>0.0775</v>
      </c>
      <c r="R41" s="964"/>
      <c r="S41" s="964">
        <v>0.0378</v>
      </c>
      <c r="T41" s="964"/>
      <c r="U41" s="964">
        <v>0.0543</v>
      </c>
      <c r="V41" s="964"/>
      <c r="W41" s="964">
        <v>0.0836</v>
      </c>
      <c r="X41" s="964"/>
      <c r="Y41" s="964">
        <v>0.0228</v>
      </c>
      <c r="Z41" s="964"/>
      <c r="AA41" s="52">
        <v>1</v>
      </c>
      <c r="AB41" s="969"/>
    </row>
    <row r="42" spans="1:28" ht="15.75" customHeight="1" thickBot="1">
      <c r="A42" s="535"/>
      <c r="B42" s="65"/>
      <c r="C42" s="996" t="s">
        <v>231</v>
      </c>
      <c r="D42" s="997"/>
      <c r="E42" s="997"/>
      <c r="F42" s="997"/>
      <c r="G42" s="997"/>
      <c r="H42" s="997"/>
      <c r="I42" s="997"/>
      <c r="J42" s="997"/>
      <c r="K42" s="997"/>
      <c r="L42" s="997"/>
      <c r="M42" s="997"/>
      <c r="N42" s="997"/>
      <c r="O42" s="997"/>
      <c r="P42" s="997"/>
      <c r="Q42" s="997"/>
      <c r="R42" s="997"/>
      <c r="S42" s="997"/>
      <c r="T42" s="997"/>
      <c r="U42" s="997"/>
      <c r="V42" s="997"/>
      <c r="W42" s="997"/>
      <c r="X42" s="997"/>
      <c r="Y42" s="997"/>
      <c r="Z42" s="998"/>
      <c r="AA42" s="993" t="e">
        <f>Y46</f>
        <v>#REF!</v>
      </c>
      <c r="AB42" s="973" t="e">
        <f>SUM(AB8,AB10,AB12,AB14,AB15,AB16,AB18,AB20,AB22,AB24,AB26,AB28,AB30,AB32,AB34,AB36,AB38,AB40)</f>
        <v>#REF!</v>
      </c>
    </row>
    <row r="43" spans="1:28" ht="12.75">
      <c r="A43" s="55"/>
      <c r="B43" s="56" t="s">
        <v>221</v>
      </c>
      <c r="C43" s="986" t="e">
        <f>SUM(D8:D41)</f>
        <v>#REF!</v>
      </c>
      <c r="D43" s="987"/>
      <c r="E43" s="976" t="e">
        <f>SUM(F8:F41)</f>
        <v>#REF!</v>
      </c>
      <c r="F43" s="977"/>
      <c r="G43" s="976" t="e">
        <f>SUM(H8:H41)</f>
        <v>#REF!</v>
      </c>
      <c r="H43" s="977"/>
      <c r="I43" s="976" t="e">
        <f>SUM(J8:J41)</f>
        <v>#REF!</v>
      </c>
      <c r="J43" s="977"/>
      <c r="K43" s="976" t="e">
        <f>SUM(L8:L41)</f>
        <v>#REF!</v>
      </c>
      <c r="L43" s="977"/>
      <c r="M43" s="976" t="e">
        <f>SUM(N8:N41)</f>
        <v>#REF!</v>
      </c>
      <c r="N43" s="977"/>
      <c r="O43" s="976" t="e">
        <f>SUM(P8:P41)</f>
        <v>#REF!</v>
      </c>
      <c r="P43" s="977"/>
      <c r="Q43" s="976" t="e">
        <f>SUM(R8:R41)</f>
        <v>#REF!</v>
      </c>
      <c r="R43" s="977"/>
      <c r="S43" s="976" t="e">
        <f>SUM(T8:T41)</f>
        <v>#REF!</v>
      </c>
      <c r="T43" s="977"/>
      <c r="U43" s="976" t="e">
        <f>SUM(V8:V41)</f>
        <v>#REF!</v>
      </c>
      <c r="V43" s="977"/>
      <c r="W43" s="976" t="e">
        <f>SUM(X8:X41)</f>
        <v>#REF!</v>
      </c>
      <c r="X43" s="977"/>
      <c r="Y43" s="976" t="e">
        <f>SUM(Z8:Z41)</f>
        <v>#REF!</v>
      </c>
      <c r="Z43" s="977"/>
      <c r="AA43" s="994"/>
      <c r="AB43" s="974"/>
    </row>
    <row r="44" spans="1:28" ht="12.75">
      <c r="A44" s="57"/>
      <c r="B44" s="53" t="s">
        <v>222</v>
      </c>
      <c r="C44" s="991" t="e">
        <f>C43/$AB$42</f>
        <v>#REF!</v>
      </c>
      <c r="D44" s="992"/>
      <c r="E44" s="978" t="e">
        <f>E43/$AB$42</f>
        <v>#REF!</v>
      </c>
      <c r="F44" s="979"/>
      <c r="G44" s="978" t="e">
        <f>G43/$AB$42</f>
        <v>#REF!</v>
      </c>
      <c r="H44" s="979"/>
      <c r="I44" s="978" t="e">
        <f>I43/$AB$42</f>
        <v>#REF!</v>
      </c>
      <c r="J44" s="979"/>
      <c r="K44" s="978" t="e">
        <f>K43/$AB$42</f>
        <v>#REF!</v>
      </c>
      <c r="L44" s="979"/>
      <c r="M44" s="978" t="e">
        <f>M43/$AB$42</f>
        <v>#REF!</v>
      </c>
      <c r="N44" s="979"/>
      <c r="O44" s="978" t="e">
        <f>O43/$AB$42</f>
        <v>#REF!</v>
      </c>
      <c r="P44" s="979"/>
      <c r="Q44" s="978" t="e">
        <f>Q43/$AB$42</f>
        <v>#REF!</v>
      </c>
      <c r="R44" s="979"/>
      <c r="S44" s="978" t="e">
        <f>S43/$AB$42</f>
        <v>#REF!</v>
      </c>
      <c r="T44" s="979"/>
      <c r="U44" s="978" t="e">
        <f>U43/$AB$42</f>
        <v>#REF!</v>
      </c>
      <c r="V44" s="979"/>
      <c r="W44" s="978" t="e">
        <f>W43/$AB$42</f>
        <v>#REF!</v>
      </c>
      <c r="X44" s="979"/>
      <c r="Y44" s="978" t="e">
        <f>Y43/$AB$42</f>
        <v>#REF!</v>
      </c>
      <c r="Z44" s="979"/>
      <c r="AA44" s="994"/>
      <c r="AB44" s="974"/>
    </row>
    <row r="45" spans="1:28" ht="12.75">
      <c r="A45" s="58"/>
      <c r="B45" s="54" t="s">
        <v>223</v>
      </c>
      <c r="C45" s="1013" t="e">
        <f>C43</f>
        <v>#REF!</v>
      </c>
      <c r="D45" s="1014"/>
      <c r="E45" s="971" t="e">
        <f>C45+E43</f>
        <v>#REF!</v>
      </c>
      <c r="F45" s="972"/>
      <c r="G45" s="971" t="e">
        <f>E45+G43</f>
        <v>#REF!</v>
      </c>
      <c r="H45" s="972"/>
      <c r="I45" s="971" t="e">
        <f>G45+I43</f>
        <v>#REF!</v>
      </c>
      <c r="J45" s="972"/>
      <c r="K45" s="971" t="e">
        <f>I45+K43</f>
        <v>#REF!</v>
      </c>
      <c r="L45" s="972"/>
      <c r="M45" s="971" t="e">
        <f>K45+M43</f>
        <v>#REF!</v>
      </c>
      <c r="N45" s="971"/>
      <c r="O45" s="971" t="e">
        <f>M45+O43</f>
        <v>#REF!</v>
      </c>
      <c r="P45" s="971"/>
      <c r="Q45" s="971" t="e">
        <f>O45+Q43</f>
        <v>#REF!</v>
      </c>
      <c r="R45" s="972"/>
      <c r="S45" s="971" t="e">
        <f>Q45+S43</f>
        <v>#REF!</v>
      </c>
      <c r="T45" s="972"/>
      <c r="U45" s="971" t="e">
        <f>S45+U43</f>
        <v>#REF!</v>
      </c>
      <c r="V45" s="972"/>
      <c r="W45" s="971" t="e">
        <f>U45+W43</f>
        <v>#REF!</v>
      </c>
      <c r="X45" s="972"/>
      <c r="Y45" s="971" t="e">
        <f>W45+Y43</f>
        <v>#REF!</v>
      </c>
      <c r="Z45" s="972"/>
      <c r="AA45" s="994"/>
      <c r="AB45" s="974"/>
    </row>
    <row r="46" spans="1:28" ht="13.5" thickBot="1">
      <c r="A46" s="59"/>
      <c r="B46" s="60" t="s">
        <v>82</v>
      </c>
      <c r="C46" s="982" t="e">
        <f>C44</f>
        <v>#REF!</v>
      </c>
      <c r="D46" s="983"/>
      <c r="E46" s="970" t="e">
        <f>C46+E44</f>
        <v>#REF!</v>
      </c>
      <c r="F46" s="970"/>
      <c r="G46" s="970" t="e">
        <f>E46+G44</f>
        <v>#REF!</v>
      </c>
      <c r="H46" s="970"/>
      <c r="I46" s="970" t="e">
        <f>G46+I44</f>
        <v>#REF!</v>
      </c>
      <c r="J46" s="970"/>
      <c r="K46" s="970" t="e">
        <f>I46+K44</f>
        <v>#REF!</v>
      </c>
      <c r="L46" s="970"/>
      <c r="M46" s="970" t="e">
        <f>K46+M44</f>
        <v>#REF!</v>
      </c>
      <c r="N46" s="970"/>
      <c r="O46" s="970" t="e">
        <f>M46+O44</f>
        <v>#REF!</v>
      </c>
      <c r="P46" s="970"/>
      <c r="Q46" s="970" t="e">
        <f>O46+Q44</f>
        <v>#REF!</v>
      </c>
      <c r="R46" s="970"/>
      <c r="S46" s="970" t="e">
        <f>Q46+S44</f>
        <v>#REF!</v>
      </c>
      <c r="T46" s="970"/>
      <c r="U46" s="970" t="e">
        <f>S46+U44</f>
        <v>#REF!</v>
      </c>
      <c r="V46" s="970"/>
      <c r="W46" s="970" t="e">
        <f>U46+W44</f>
        <v>#REF!</v>
      </c>
      <c r="X46" s="970"/>
      <c r="Y46" s="970" t="e">
        <f>W46+Y44</f>
        <v>#REF!</v>
      </c>
      <c r="Z46" s="970"/>
      <c r="AA46" s="995"/>
      <c r="AB46" s="975"/>
    </row>
    <row r="47" spans="1:28" ht="12.75">
      <c r="A47" s="988"/>
      <c r="B47" s="988"/>
      <c r="C47" s="506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</row>
    <row r="48" spans="1:28" ht="12.75">
      <c r="A48" s="31"/>
      <c r="B48" s="31"/>
      <c r="C48" s="50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28" ht="12.75">
      <c r="A49" s="31"/>
      <c r="B49" s="31"/>
      <c r="C49" s="507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1:28" ht="12.75">
      <c r="A50" s="31"/>
      <c r="B50" s="31"/>
      <c r="C50" s="507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ht="12.75">
      <c r="A51" s="31"/>
      <c r="B51" s="31"/>
      <c r="C51" s="507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ht="12.75">
      <c r="A52" s="31"/>
      <c r="B52" s="31"/>
      <c r="C52" s="507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ht="12.75">
      <c r="A53" s="31"/>
      <c r="B53" s="31"/>
      <c r="C53" s="50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ht="12.75">
      <c r="A54" s="31"/>
      <c r="B54" s="31"/>
      <c r="C54" s="50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28" ht="12.75">
      <c r="A55" s="31"/>
      <c r="B55" s="31"/>
      <c r="C55" s="507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</row>
    <row r="56" spans="1:28" ht="12.75">
      <c r="A56" s="31"/>
      <c r="B56" s="31"/>
      <c r="C56" s="50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ht="12.75">
      <c r="A57" s="31"/>
      <c r="B57" s="31"/>
      <c r="C57" s="507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ht="140.25">
      <c r="A58" s="31"/>
      <c r="B58" s="33"/>
      <c r="C58" s="981"/>
      <c r="D58" s="981"/>
      <c r="E58" s="981"/>
      <c r="F58" s="981"/>
      <c r="G58" s="981"/>
      <c r="H58" s="981"/>
      <c r="I58" s="981"/>
      <c r="J58" s="981"/>
      <c r="K58" s="1015"/>
      <c r="L58" s="1015"/>
      <c r="M58" s="1015"/>
      <c r="N58" s="1015"/>
      <c r="O58" s="1015"/>
      <c r="P58" s="1015"/>
      <c r="Q58" s="1015"/>
      <c r="R58" s="1015"/>
      <c r="S58" s="981" t="s">
        <v>9</v>
      </c>
      <c r="T58" s="981"/>
      <c r="U58" s="981"/>
      <c r="V58" s="981"/>
      <c r="W58" s="981"/>
      <c r="X58" s="981"/>
      <c r="Y58" s="981"/>
      <c r="Z58" s="981"/>
      <c r="AA58" s="31"/>
      <c r="AB58" s="31"/>
    </row>
    <row r="59" spans="1:28" ht="12.75">
      <c r="A59" s="31"/>
      <c r="B59" s="33"/>
      <c r="C59" s="980"/>
      <c r="D59" s="980"/>
      <c r="E59" s="980"/>
      <c r="F59" s="980"/>
      <c r="G59" s="980"/>
      <c r="H59" s="980"/>
      <c r="I59" s="980"/>
      <c r="J59" s="980"/>
      <c r="K59" s="1016"/>
      <c r="L59" s="1016"/>
      <c r="M59" s="1016"/>
      <c r="N59" s="1016"/>
      <c r="O59" s="1016"/>
      <c r="P59" s="1016"/>
      <c r="Q59" s="1016"/>
      <c r="R59" s="1016"/>
      <c r="S59" s="980" t="s">
        <v>8</v>
      </c>
      <c r="T59" s="980"/>
      <c r="U59" s="980"/>
      <c r="V59" s="980"/>
      <c r="W59" s="980"/>
      <c r="X59" s="980"/>
      <c r="Y59" s="980"/>
      <c r="Z59" s="980"/>
      <c r="AA59" s="31"/>
      <c r="AB59" s="31"/>
    </row>
    <row r="60" spans="1:28" ht="12.75" customHeight="1">
      <c r="A60" s="31"/>
      <c r="B60" s="31"/>
      <c r="C60" s="50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200" ht="12.75">
      <c r="C200" s="511" t="s">
        <v>3</v>
      </c>
    </row>
  </sheetData>
  <sheetProtection/>
  <mergeCells count="177">
    <mergeCell ref="S59:Z59"/>
    <mergeCell ref="K58:R58"/>
    <mergeCell ref="K59:R59"/>
    <mergeCell ref="S58:Z58"/>
    <mergeCell ref="S43:T43"/>
    <mergeCell ref="Y43:Z43"/>
    <mergeCell ref="O44:P44"/>
    <mergeCell ref="Q44:R44"/>
    <mergeCell ref="S44:T44"/>
    <mergeCell ref="U44:V44"/>
    <mergeCell ref="AA6:AA7"/>
    <mergeCell ref="AB6:AB7"/>
    <mergeCell ref="W3:AA3"/>
    <mergeCell ref="A32:A33"/>
    <mergeCell ref="C45:D45"/>
    <mergeCell ref="E45:F45"/>
    <mergeCell ref="G45:H45"/>
    <mergeCell ref="I45:J45"/>
    <mergeCell ref="K45:L45"/>
    <mergeCell ref="A34:A35"/>
    <mergeCell ref="AB8:AB9"/>
    <mergeCell ref="C6:D6"/>
    <mergeCell ref="A4:AB4"/>
    <mergeCell ref="A5:A7"/>
    <mergeCell ref="B5:B7"/>
    <mergeCell ref="AA5:AB5"/>
    <mergeCell ref="O6:P6"/>
    <mergeCell ref="C5:Z5"/>
    <mergeCell ref="Q6:R6"/>
    <mergeCell ref="S6:T6"/>
    <mergeCell ref="AB10:AB11"/>
    <mergeCell ref="C44:D44"/>
    <mergeCell ref="E44:F44"/>
    <mergeCell ref="G44:H44"/>
    <mergeCell ref="I44:J44"/>
    <mergeCell ref="K44:L44"/>
    <mergeCell ref="M44:N44"/>
    <mergeCell ref="AA42:AA46"/>
    <mergeCell ref="M45:N45"/>
    <mergeCell ref="C42:Z42"/>
    <mergeCell ref="A10:A11"/>
    <mergeCell ref="B10:B11"/>
    <mergeCell ref="B32:B33"/>
    <mergeCell ref="B34:B35"/>
    <mergeCell ref="B16:B17"/>
    <mergeCell ref="A22:A23"/>
    <mergeCell ref="AB16:AB17"/>
    <mergeCell ref="B20:B21"/>
    <mergeCell ref="AB20:AB21"/>
    <mergeCell ref="A12:A13"/>
    <mergeCell ref="B12:B13"/>
    <mergeCell ref="AB12:AB13"/>
    <mergeCell ref="I17:J17"/>
    <mergeCell ref="A16:A17"/>
    <mergeCell ref="A18:A19"/>
    <mergeCell ref="B18:B19"/>
    <mergeCell ref="AB18:AB19"/>
    <mergeCell ref="A20:A21"/>
    <mergeCell ref="G21:H21"/>
    <mergeCell ref="W23:X23"/>
    <mergeCell ref="A24:A25"/>
    <mergeCell ref="B24:B25"/>
    <mergeCell ref="AB24:AB25"/>
    <mergeCell ref="Q25:R25"/>
    <mergeCell ref="S25:T25"/>
    <mergeCell ref="B22:B23"/>
    <mergeCell ref="AB22:AB23"/>
    <mergeCell ref="E43:F43"/>
    <mergeCell ref="G43:H43"/>
    <mergeCell ref="A26:A27"/>
    <mergeCell ref="B26:B27"/>
    <mergeCell ref="AB26:AB27"/>
    <mergeCell ref="U27:V27"/>
    <mergeCell ref="W27:X27"/>
    <mergeCell ref="I43:J43"/>
    <mergeCell ref="K43:L43"/>
    <mergeCell ref="A47:B47"/>
    <mergeCell ref="A30:A31"/>
    <mergeCell ref="B30:B31"/>
    <mergeCell ref="O45:P45"/>
    <mergeCell ref="Q45:R45"/>
    <mergeCell ref="Y45:Z45"/>
    <mergeCell ref="Y44:Z44"/>
    <mergeCell ref="A36:A37"/>
    <mergeCell ref="B36:B37"/>
    <mergeCell ref="A38:A39"/>
    <mergeCell ref="Y27:Z27"/>
    <mergeCell ref="U25:V25"/>
    <mergeCell ref="I6:J6"/>
    <mergeCell ref="AB30:AB31"/>
    <mergeCell ref="A28:A29"/>
    <mergeCell ref="B28:B29"/>
    <mergeCell ref="AB28:AB29"/>
    <mergeCell ref="Y31:Z31"/>
    <mergeCell ref="W29:X29"/>
    <mergeCell ref="Y29:Z29"/>
    <mergeCell ref="W25:X25"/>
    <mergeCell ref="O23:P23"/>
    <mergeCell ref="C59:J59"/>
    <mergeCell ref="C58:J58"/>
    <mergeCell ref="C46:D46"/>
    <mergeCell ref="K19:L19"/>
    <mergeCell ref="C43:D43"/>
    <mergeCell ref="G41:H41"/>
    <mergeCell ref="K41:L41"/>
    <mergeCell ref="M43:N43"/>
    <mergeCell ref="W6:X6"/>
    <mergeCell ref="K21:L21"/>
    <mergeCell ref="M23:N23"/>
    <mergeCell ref="Q23:R23"/>
    <mergeCell ref="K17:L17"/>
    <mergeCell ref="Y6:Z6"/>
    <mergeCell ref="I21:J21"/>
    <mergeCell ref="O43:P43"/>
    <mergeCell ref="Q43:R43"/>
    <mergeCell ref="Q41:R41"/>
    <mergeCell ref="W45:X45"/>
    <mergeCell ref="S46:T46"/>
    <mergeCell ref="U46:V46"/>
    <mergeCell ref="U43:V43"/>
    <mergeCell ref="W44:X44"/>
    <mergeCell ref="S41:T41"/>
    <mergeCell ref="AB42:AB46"/>
    <mergeCell ref="A40:A41"/>
    <mergeCell ref="B40:B41"/>
    <mergeCell ref="Y41:Z41"/>
    <mergeCell ref="W46:X46"/>
    <mergeCell ref="W43:X43"/>
    <mergeCell ref="O46:P46"/>
    <mergeCell ref="I41:J41"/>
    <mergeCell ref="E46:F46"/>
    <mergeCell ref="AB40:AB41"/>
    <mergeCell ref="B38:B39"/>
    <mergeCell ref="AB36:AB37"/>
    <mergeCell ref="C41:D41"/>
    <mergeCell ref="E41:F41"/>
    <mergeCell ref="M41:N41"/>
    <mergeCell ref="O41:P41"/>
    <mergeCell ref="W41:X41"/>
    <mergeCell ref="Y33:Z33"/>
    <mergeCell ref="W35:X35"/>
    <mergeCell ref="U41:V41"/>
    <mergeCell ref="Y46:Z46"/>
    <mergeCell ref="O37:P37"/>
    <mergeCell ref="Q46:R46"/>
    <mergeCell ref="S45:T45"/>
    <mergeCell ref="U45:V45"/>
    <mergeCell ref="Y35:Z35"/>
    <mergeCell ref="X2:AA2"/>
    <mergeCell ref="AB32:AB33"/>
    <mergeCell ref="AB34:AB35"/>
    <mergeCell ref="G46:H46"/>
    <mergeCell ref="I46:J46"/>
    <mergeCell ref="K46:L46"/>
    <mergeCell ref="M46:N46"/>
    <mergeCell ref="U29:V29"/>
    <mergeCell ref="AB38:AB39"/>
    <mergeCell ref="Y39:Z39"/>
    <mergeCell ref="K31:L31"/>
    <mergeCell ref="M37:N37"/>
    <mergeCell ref="C9:D9"/>
    <mergeCell ref="C11:D11"/>
    <mergeCell ref="C13:D13"/>
    <mergeCell ref="E13:F13"/>
    <mergeCell ref="K27:L27"/>
    <mergeCell ref="K29:L29"/>
    <mergeCell ref="M17:N17"/>
    <mergeCell ref="K33:L33"/>
    <mergeCell ref="A1:H3"/>
    <mergeCell ref="I1:V3"/>
    <mergeCell ref="E6:F6"/>
    <mergeCell ref="A8:A9"/>
    <mergeCell ref="B8:B9"/>
    <mergeCell ref="G6:H6"/>
    <mergeCell ref="K6:L6"/>
    <mergeCell ref="M6:N6"/>
    <mergeCell ref="U6:V6"/>
  </mergeCells>
  <printOptions/>
  <pageMargins left="0.4330708661417323" right="0.15748031496062992" top="0.1968503937007874" bottom="0.35433070866141736" header="0.15748031496062992" footer="0.1968503937007874"/>
  <pageSetup horizontalDpi="600" verticalDpi="600" orientation="landscape" paperSize="9" scale="70" r:id="rId2"/>
  <headerFooter alignWithMargins="0">
    <oddFooter>&amp;C&amp;8Página 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T249"/>
  <sheetViews>
    <sheetView view="pageBreakPreview" zoomScaleNormal="75" zoomScaleSheetLayoutView="100" zoomScalePageLayoutView="0" workbookViewId="0" topLeftCell="A40">
      <selection activeCell="H49" sqref="H49"/>
    </sheetView>
  </sheetViews>
  <sheetFormatPr defaultColWidth="9.140625" defaultRowHeight="12.75"/>
  <cols>
    <col min="1" max="1" width="6.28125" style="87" bestFit="1" customWidth="1"/>
    <col min="2" max="2" width="55.140625" style="103" customWidth="1"/>
    <col min="3" max="3" width="4.8515625" style="13" customWidth="1"/>
    <col min="4" max="4" width="8.140625" style="199" customWidth="1"/>
    <col min="5" max="5" width="7.7109375" style="200" bestFit="1" customWidth="1"/>
    <col min="6" max="6" width="5.7109375" style="201" bestFit="1" customWidth="1"/>
    <col min="7" max="7" width="5.7109375" style="202" customWidth="1"/>
    <col min="8" max="8" width="7.8515625" style="203" customWidth="1"/>
    <col min="9" max="9" width="8.421875" style="203" customWidth="1"/>
    <col min="10" max="10" width="9.421875" style="437" bestFit="1" customWidth="1"/>
    <col min="11" max="11" width="7.00390625" style="204" bestFit="1" customWidth="1"/>
    <col min="12" max="12" width="11.8515625" style="221" customWidth="1"/>
    <col min="13" max="13" width="41.00390625" style="260" customWidth="1"/>
    <col min="14" max="14" width="9.57421875" style="223" customWidth="1"/>
    <col min="15" max="15" width="9.00390625" style="223" bestFit="1" customWidth="1"/>
    <col min="16" max="16" width="10.28125" style="223" bestFit="1" customWidth="1"/>
    <col min="17" max="17" width="10.28125" style="0" bestFit="1" customWidth="1"/>
  </cols>
  <sheetData>
    <row r="1" spans="1:14" ht="70.5" customHeight="1">
      <c r="A1" s="1036"/>
      <c r="B1" s="1037"/>
      <c r="C1" s="1037"/>
      <c r="D1" s="1037"/>
      <c r="E1" s="1051"/>
      <c r="F1" s="1051"/>
      <c r="G1" s="1051"/>
      <c r="H1" s="1051"/>
      <c r="I1" s="1051"/>
      <c r="J1" s="1051"/>
      <c r="K1" s="1051"/>
      <c r="L1" s="1051"/>
      <c r="M1" s="1052"/>
      <c r="N1" s="222"/>
    </row>
    <row r="2" spans="1:18" ht="12.75" customHeight="1">
      <c r="A2" s="570" t="s">
        <v>583</v>
      </c>
      <c r="B2" s="1062" t="s">
        <v>656</v>
      </c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4"/>
      <c r="N2" s="226"/>
      <c r="O2" s="227"/>
      <c r="P2" s="227"/>
      <c r="Q2" s="2"/>
      <c r="R2" s="2"/>
    </row>
    <row r="3" spans="1:18" ht="12.75" customHeight="1">
      <c r="A3" s="570" t="s">
        <v>584</v>
      </c>
      <c r="B3" s="1030" t="s">
        <v>655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2"/>
      <c r="N3" s="226"/>
      <c r="O3" s="227"/>
      <c r="P3" s="227"/>
      <c r="Q3" s="2"/>
      <c r="R3" s="2"/>
    </row>
    <row r="4" spans="1:18" ht="20.25">
      <c r="A4" s="1053" t="s">
        <v>237</v>
      </c>
      <c r="B4" s="1054"/>
      <c r="C4" s="1054"/>
      <c r="D4" s="1054"/>
      <c r="E4" s="1054"/>
      <c r="F4" s="1054"/>
      <c r="G4" s="1054"/>
      <c r="H4" s="1054"/>
      <c r="I4" s="1054"/>
      <c r="J4" s="1054"/>
      <c r="K4" s="1054"/>
      <c r="L4" s="1054"/>
      <c r="M4" s="1055"/>
      <c r="N4" s="226"/>
      <c r="O4" s="227"/>
      <c r="P4" s="227"/>
      <c r="Q4" s="2"/>
      <c r="R4" s="2"/>
    </row>
    <row r="5" spans="1:18" ht="15.75">
      <c r="A5" s="1060" t="s">
        <v>72</v>
      </c>
      <c r="B5" s="1038" t="s">
        <v>73</v>
      </c>
      <c r="C5" s="1038" t="s">
        <v>97</v>
      </c>
      <c r="D5" s="1041" t="s">
        <v>240</v>
      </c>
      <c r="E5" s="1079" t="s">
        <v>218</v>
      </c>
      <c r="F5" s="1080"/>
      <c r="G5" s="1080"/>
      <c r="H5" s="1080"/>
      <c r="I5" s="1080"/>
      <c r="J5" s="1080"/>
      <c r="K5" s="1080"/>
      <c r="L5" s="1081"/>
      <c r="M5" s="1076" t="s">
        <v>241</v>
      </c>
      <c r="N5" s="226"/>
      <c r="O5" s="227"/>
      <c r="P5" s="227"/>
      <c r="Q5" s="2"/>
      <c r="R5" s="2"/>
    </row>
    <row r="6" spans="1:18" ht="12.75">
      <c r="A6" s="1060"/>
      <c r="B6" s="1039"/>
      <c r="C6" s="1039"/>
      <c r="D6" s="1042"/>
      <c r="E6" s="1065" t="s">
        <v>256</v>
      </c>
      <c r="F6" s="1066"/>
      <c r="G6" s="1067"/>
      <c r="H6" s="1068" t="s">
        <v>244</v>
      </c>
      <c r="I6" s="1088" t="s">
        <v>245</v>
      </c>
      <c r="J6" s="1056" t="s">
        <v>389</v>
      </c>
      <c r="K6" s="1058" t="s">
        <v>390</v>
      </c>
      <c r="L6" s="1082" t="s">
        <v>246</v>
      </c>
      <c r="M6" s="1077"/>
      <c r="N6" s="226"/>
      <c r="O6" s="227"/>
      <c r="P6" s="227"/>
      <c r="Q6" s="2"/>
      <c r="R6" s="2"/>
    </row>
    <row r="7" spans="1:18" ht="36" customHeight="1">
      <c r="A7" s="1061"/>
      <c r="B7" s="1040"/>
      <c r="C7" s="1040"/>
      <c r="D7" s="1043"/>
      <c r="E7" s="492" t="s">
        <v>417</v>
      </c>
      <c r="F7" s="104" t="s">
        <v>238</v>
      </c>
      <c r="G7" s="105" t="s">
        <v>242</v>
      </c>
      <c r="H7" s="1069"/>
      <c r="I7" s="1089"/>
      <c r="J7" s="1057"/>
      <c r="K7" s="1059"/>
      <c r="L7" s="1083"/>
      <c r="M7" s="1078"/>
      <c r="N7" s="226"/>
      <c r="O7" s="228"/>
      <c r="P7" s="228"/>
      <c r="Q7" s="3"/>
      <c r="R7" s="2"/>
    </row>
    <row r="8" spans="1:18" ht="12.75">
      <c r="A8" s="76">
        <v>1</v>
      </c>
      <c r="B8" s="88" t="s">
        <v>74</v>
      </c>
      <c r="C8" s="106"/>
      <c r="D8" s="107"/>
      <c r="E8" s="108"/>
      <c r="F8" s="108"/>
      <c r="G8" s="109"/>
      <c r="H8" s="110"/>
      <c r="I8" s="110"/>
      <c r="J8" s="427"/>
      <c r="K8" s="111"/>
      <c r="L8" s="205"/>
      <c r="M8" s="512"/>
      <c r="N8" s="230"/>
      <c r="O8" s="231"/>
      <c r="P8" s="224"/>
      <c r="Q8" s="4"/>
      <c r="R8" s="2"/>
    </row>
    <row r="9" spans="1:18" ht="12.75">
      <c r="A9" s="77" t="s">
        <v>75</v>
      </c>
      <c r="B9" s="89" t="s">
        <v>229</v>
      </c>
      <c r="C9" s="112"/>
      <c r="D9" s="113"/>
      <c r="E9" s="114"/>
      <c r="F9" s="114"/>
      <c r="G9" s="115"/>
      <c r="H9" s="116"/>
      <c r="I9" s="116"/>
      <c r="J9" s="428"/>
      <c r="K9" s="117"/>
      <c r="L9" s="206"/>
      <c r="M9" s="513"/>
      <c r="N9" s="230"/>
      <c r="O9" s="231"/>
      <c r="P9" s="224"/>
      <c r="Q9" s="4"/>
      <c r="R9" s="2"/>
    </row>
    <row r="10" spans="1:18" ht="12.75">
      <c r="A10" s="78" t="s">
        <v>224</v>
      </c>
      <c r="B10" s="90" t="s">
        <v>20</v>
      </c>
      <c r="C10" s="17" t="s">
        <v>128</v>
      </c>
      <c r="D10" s="74">
        <f>L10</f>
        <v>2.5</v>
      </c>
      <c r="E10" s="118">
        <v>2</v>
      </c>
      <c r="F10" s="119">
        <v>1.25</v>
      </c>
      <c r="G10" s="118"/>
      <c r="H10" s="532">
        <f>IF(ISBLANK(F10),E10*G10,IF(ISBLANK(E10),F10*G10,IF(ISBLANK(G10),E10*F10,E10*F10*G10)))</f>
        <v>2.5</v>
      </c>
      <c r="I10" s="120">
        <v>1</v>
      </c>
      <c r="J10" s="429"/>
      <c r="K10" s="121"/>
      <c r="L10" s="207">
        <f>I10*H10</f>
        <v>2.5</v>
      </c>
      <c r="M10" s="514" t="s">
        <v>484</v>
      </c>
      <c r="N10" s="230"/>
      <c r="O10" s="231"/>
      <c r="P10" s="224"/>
      <c r="Q10" s="4"/>
      <c r="R10" s="2"/>
    </row>
    <row r="11" spans="1:18" ht="21.75" customHeight="1">
      <c r="A11" s="78" t="s">
        <v>225</v>
      </c>
      <c r="B11" s="90" t="s">
        <v>59</v>
      </c>
      <c r="C11" s="14" t="s">
        <v>128</v>
      </c>
      <c r="D11" s="74" t="e">
        <f>L11</f>
        <v>#REF!</v>
      </c>
      <c r="E11" s="118">
        <v>18.9</v>
      </c>
      <c r="F11" s="119"/>
      <c r="G11" s="118">
        <v>35.36</v>
      </c>
      <c r="H11" s="532">
        <f>IF(ISBLANK(F11),E11*G11,IF(ISBLANK(E11),F11*G11,IF(ISBLANK(G11),E11*F11,E11*F11*G11)))</f>
        <v>668.304</v>
      </c>
      <c r="I11" s="120">
        <v>1</v>
      </c>
      <c r="J11" s="429"/>
      <c r="K11" s="121"/>
      <c r="L11" s="207" t="e">
        <f>I11*(H11+#REF!)</f>
        <v>#REF!</v>
      </c>
      <c r="M11" s="514" t="s">
        <v>657</v>
      </c>
      <c r="N11" s="230"/>
      <c r="O11" s="231"/>
      <c r="P11" s="224"/>
      <c r="Q11" s="4"/>
      <c r="R11" s="2"/>
    </row>
    <row r="12" spans="1:18" ht="60.75" customHeight="1">
      <c r="A12" s="78" t="s">
        <v>226</v>
      </c>
      <c r="B12" s="96" t="s">
        <v>38</v>
      </c>
      <c r="C12" s="75" t="s">
        <v>128</v>
      </c>
      <c r="D12" s="74">
        <f>L12</f>
        <v>30</v>
      </c>
      <c r="E12" s="181">
        <v>15</v>
      </c>
      <c r="F12" s="568">
        <v>2</v>
      </c>
      <c r="G12" s="181"/>
      <c r="H12" s="532">
        <f>IF(ISBLANK(F12),E12*G12,IF(ISBLANK(E12),F12*G12,IF(ISBLANK(G12),E12*F12,E12*F12*G12)))</f>
        <v>30</v>
      </c>
      <c r="I12" s="185">
        <v>1</v>
      </c>
      <c r="J12" s="429"/>
      <c r="K12" s="551"/>
      <c r="L12" s="219">
        <f>I12*H12</f>
        <v>30</v>
      </c>
      <c r="M12" s="514" t="s">
        <v>658</v>
      </c>
      <c r="N12" s="230"/>
      <c r="O12" s="231"/>
      <c r="P12" s="224"/>
      <c r="Q12" s="4"/>
      <c r="R12" s="2"/>
    </row>
    <row r="13" spans="1:17" s="32" customFormat="1" ht="12.75">
      <c r="A13" s="79"/>
      <c r="B13" s="91"/>
      <c r="C13" s="500"/>
      <c r="D13" s="125"/>
      <c r="E13" s="126"/>
      <c r="F13" s="127"/>
      <c r="G13" s="128"/>
      <c r="H13" s="129"/>
      <c r="I13" s="129"/>
      <c r="J13" s="430"/>
      <c r="K13" s="130"/>
      <c r="L13" s="208"/>
      <c r="M13" s="515"/>
      <c r="N13" s="232"/>
      <c r="O13" s="233"/>
      <c r="P13" s="234"/>
      <c r="Q13" s="66"/>
    </row>
    <row r="14" spans="1:17" s="68" customFormat="1" ht="12.75">
      <c r="A14" s="76">
        <v>2</v>
      </c>
      <c r="B14" s="88" t="s">
        <v>64</v>
      </c>
      <c r="C14" s="15"/>
      <c r="D14" s="107"/>
      <c r="E14" s="108"/>
      <c r="F14" s="108"/>
      <c r="G14" s="131"/>
      <c r="H14" s="107"/>
      <c r="I14" s="107"/>
      <c r="J14" s="431"/>
      <c r="K14" s="132"/>
      <c r="L14" s="209"/>
      <c r="M14" s="516"/>
      <c r="N14" s="235"/>
      <c r="O14" s="236"/>
      <c r="P14" s="237"/>
      <c r="Q14" s="67"/>
    </row>
    <row r="15" spans="1:17" s="69" customFormat="1" ht="12.75">
      <c r="A15" s="77" t="s">
        <v>509</v>
      </c>
      <c r="B15" s="89" t="s">
        <v>101</v>
      </c>
      <c r="C15" s="20"/>
      <c r="D15" s="113"/>
      <c r="E15" s="114"/>
      <c r="F15" s="114"/>
      <c r="G15" s="133"/>
      <c r="H15" s="113"/>
      <c r="I15" s="113"/>
      <c r="J15" s="170"/>
      <c r="K15" s="134"/>
      <c r="L15" s="210"/>
      <c r="M15" s="517"/>
      <c r="N15" s="238"/>
      <c r="O15" s="239"/>
      <c r="P15" s="240"/>
      <c r="Q15" s="70"/>
    </row>
    <row r="16" spans="1:20" ht="12.75">
      <c r="A16" s="1047" t="s">
        <v>510</v>
      </c>
      <c r="B16" s="1044" t="s">
        <v>143</v>
      </c>
      <c r="C16" s="1027" t="s">
        <v>142</v>
      </c>
      <c r="D16" s="1028">
        <f>SUM(L16:L20)</f>
        <v>22.255499999999998</v>
      </c>
      <c r="E16" s="73">
        <v>1</v>
      </c>
      <c r="F16" s="119">
        <v>1.5</v>
      </c>
      <c r="G16" s="73">
        <v>1</v>
      </c>
      <c r="H16" s="532">
        <f>IF(ISBLANK(F16),E16*G16,IF(ISBLANK(E16),F16*G16,IF(ISBLANK(G16),E16*F16,E16*F16*G16)))</f>
        <v>1.5</v>
      </c>
      <c r="I16" s="120">
        <v>7</v>
      </c>
      <c r="J16" s="429"/>
      <c r="K16" s="136"/>
      <c r="L16" s="207">
        <f aca="true" t="shared" si="0" ref="L16:L21">I16*H16</f>
        <v>10.5</v>
      </c>
      <c r="M16" s="514" t="s">
        <v>425</v>
      </c>
      <c r="N16" s="229"/>
      <c r="O16" s="229"/>
      <c r="P16" s="229"/>
      <c r="Q16" s="229"/>
      <c r="R16" s="229"/>
      <c r="S16" s="229"/>
      <c r="T16" s="229"/>
    </row>
    <row r="17" spans="1:20" ht="12.75">
      <c r="A17" s="1048"/>
      <c r="B17" s="1045"/>
      <c r="C17" s="1027"/>
      <c r="D17" s="1028"/>
      <c r="E17" s="73">
        <v>1</v>
      </c>
      <c r="F17" s="119">
        <v>1.2</v>
      </c>
      <c r="G17" s="73">
        <v>1</v>
      </c>
      <c r="H17" s="532">
        <f>IF(ISBLANK(F17),E17*G17,IF(ISBLANK(E17),F17*G17,IF(ISBLANK(G17),E17*F17,E17*F17*G17)))</f>
        <v>1.2</v>
      </c>
      <c r="I17" s="120">
        <v>2</v>
      </c>
      <c r="J17" s="429"/>
      <c r="K17" s="136"/>
      <c r="L17" s="207">
        <f t="shared" si="0"/>
        <v>2.4</v>
      </c>
      <c r="M17" s="518" t="s">
        <v>378</v>
      </c>
      <c r="N17" s="229"/>
      <c r="O17" s="229"/>
      <c r="P17" s="229"/>
      <c r="Q17" s="229"/>
      <c r="R17" s="229"/>
      <c r="S17" s="229"/>
      <c r="T17" s="229"/>
    </row>
    <row r="18" spans="1:20" ht="12.75">
      <c r="A18" s="1048"/>
      <c r="B18" s="1045"/>
      <c r="C18" s="1027"/>
      <c r="D18" s="1028"/>
      <c r="E18" s="73">
        <v>0.55</v>
      </c>
      <c r="F18" s="119">
        <v>0.3</v>
      </c>
      <c r="G18" s="73">
        <v>1.3</v>
      </c>
      <c r="H18" s="532">
        <f>IF(ISBLANK(F18),E18*G18,IF(ISBLANK(E18),F18*G18,IF(ISBLANK(G18),E18*F18,E18*F18*G18)))</f>
        <v>0.21450000000000002</v>
      </c>
      <c r="I18" s="120">
        <v>3</v>
      </c>
      <c r="J18" s="429"/>
      <c r="K18" s="136"/>
      <c r="L18" s="207">
        <f t="shared" si="0"/>
        <v>0.6435000000000001</v>
      </c>
      <c r="M18" s="518" t="s">
        <v>483</v>
      </c>
      <c r="N18" s="229"/>
      <c r="O18" s="229"/>
      <c r="P18" s="229"/>
      <c r="Q18" s="229"/>
      <c r="R18" s="229"/>
      <c r="S18" s="229"/>
      <c r="T18" s="229"/>
    </row>
    <row r="19" spans="1:20" ht="12.75">
      <c r="A19" s="1048"/>
      <c r="B19" s="1045"/>
      <c r="C19" s="1027"/>
      <c r="D19" s="1028"/>
      <c r="E19" s="73">
        <v>0.55</v>
      </c>
      <c r="F19" s="119">
        <v>0.4</v>
      </c>
      <c r="G19" s="73">
        <v>4.8</v>
      </c>
      <c r="H19" s="532">
        <f>IF(ISBLANK(F19),E19*G19,IF(ISBLANK(E19),F19*G19,IF(ISBLANK(G19),E19*F19,E19*F19*G19)))</f>
        <v>1.056</v>
      </c>
      <c r="I19" s="120">
        <v>5</v>
      </c>
      <c r="J19" s="429"/>
      <c r="K19" s="136"/>
      <c r="L19" s="207">
        <f t="shared" si="0"/>
        <v>5.28</v>
      </c>
      <c r="M19" s="518" t="s">
        <v>377</v>
      </c>
      <c r="N19" s="229"/>
      <c r="O19" s="229"/>
      <c r="P19" s="229"/>
      <c r="Q19" s="229"/>
      <c r="R19" s="229"/>
      <c r="S19" s="229"/>
      <c r="T19" s="229"/>
    </row>
    <row r="20" spans="1:20" ht="12.75">
      <c r="A20" s="1049"/>
      <c r="B20" s="1046"/>
      <c r="C20" s="1027"/>
      <c r="D20" s="1028"/>
      <c r="E20" s="73">
        <v>0.55</v>
      </c>
      <c r="F20" s="119">
        <v>0.4</v>
      </c>
      <c r="G20" s="73">
        <v>5.2</v>
      </c>
      <c r="H20" s="532">
        <f>IF(ISBLANK(F20),E20*G20,IF(ISBLANK(E20),F20*G20,IF(ISBLANK(G20),E20*F20,E20*F20*G20)))</f>
        <v>1.1440000000000001</v>
      </c>
      <c r="I20" s="120">
        <v>3</v>
      </c>
      <c r="J20" s="429"/>
      <c r="K20" s="136"/>
      <c r="L20" s="207">
        <f t="shared" si="0"/>
        <v>3.4320000000000004</v>
      </c>
      <c r="M20" s="518" t="s">
        <v>376</v>
      </c>
      <c r="N20" s="229"/>
      <c r="O20" s="229"/>
      <c r="P20" s="229"/>
      <c r="Q20" s="229"/>
      <c r="R20" s="229"/>
      <c r="S20" s="229"/>
      <c r="T20" s="229"/>
    </row>
    <row r="21" spans="1:20" ht="12.75">
      <c r="A21" s="78" t="s">
        <v>511</v>
      </c>
      <c r="B21" s="90" t="s">
        <v>21</v>
      </c>
      <c r="C21" s="14" t="s">
        <v>142</v>
      </c>
      <c r="D21" s="74">
        <f>L21</f>
        <v>14.68</v>
      </c>
      <c r="E21" s="73"/>
      <c r="F21" s="119"/>
      <c r="G21" s="135"/>
      <c r="H21" s="122">
        <v>14.68</v>
      </c>
      <c r="I21" s="120">
        <v>1</v>
      </c>
      <c r="J21" s="429"/>
      <c r="K21" s="136"/>
      <c r="L21" s="213">
        <f t="shared" si="0"/>
        <v>14.68</v>
      </c>
      <c r="M21" s="518" t="s">
        <v>418</v>
      </c>
      <c r="N21" s="229"/>
      <c r="O21" s="229">
        <v>8.91</v>
      </c>
      <c r="P21" s="229"/>
      <c r="Q21" s="229"/>
      <c r="R21" s="229"/>
      <c r="S21" s="229"/>
      <c r="T21" s="229"/>
    </row>
    <row r="22" spans="1:20" s="32" customFormat="1" ht="12.75">
      <c r="A22" s="80"/>
      <c r="B22" s="92"/>
      <c r="C22" s="501"/>
      <c r="D22" s="137"/>
      <c r="E22" s="138"/>
      <c r="F22" s="127"/>
      <c r="G22" s="139"/>
      <c r="H22" s="129"/>
      <c r="I22" s="129"/>
      <c r="J22" s="430"/>
      <c r="K22" s="140"/>
      <c r="L22" s="211"/>
      <c r="M22" s="519"/>
      <c r="N22" s="229"/>
      <c r="O22" s="229"/>
      <c r="P22" s="229"/>
      <c r="Q22" s="229"/>
      <c r="R22" s="229"/>
      <c r="S22" s="229"/>
      <c r="T22" s="229"/>
    </row>
    <row r="23" spans="1:17" s="69" customFormat="1" ht="12.75">
      <c r="A23" s="77" t="s">
        <v>512</v>
      </c>
      <c r="B23" s="89" t="s">
        <v>95</v>
      </c>
      <c r="C23" s="20"/>
      <c r="D23" s="113"/>
      <c r="E23" s="114"/>
      <c r="F23" s="114"/>
      <c r="G23" s="115"/>
      <c r="H23" s="141"/>
      <c r="I23" s="141"/>
      <c r="J23" s="170"/>
      <c r="K23" s="142"/>
      <c r="L23" s="212"/>
      <c r="M23" s="520"/>
      <c r="N23" s="238"/>
      <c r="O23" s="241"/>
      <c r="P23" s="240"/>
      <c r="Q23" s="70"/>
    </row>
    <row r="24" spans="1:18" ht="33.75">
      <c r="A24" s="78" t="s">
        <v>513</v>
      </c>
      <c r="B24" s="16" t="s">
        <v>489</v>
      </c>
      <c r="C24" s="14" t="s">
        <v>128</v>
      </c>
      <c r="D24" s="74">
        <f aca="true" t="shared" si="1" ref="D24:D29">L24</f>
        <v>143.05</v>
      </c>
      <c r="E24" s="73"/>
      <c r="F24" s="119"/>
      <c r="G24" s="135"/>
      <c r="H24" s="122">
        <v>143.05</v>
      </c>
      <c r="I24" s="120">
        <v>1</v>
      </c>
      <c r="J24" s="429"/>
      <c r="K24" s="121"/>
      <c r="L24" s="213">
        <f>I24*H24</f>
        <v>143.05</v>
      </c>
      <c r="M24" s="1085" t="s">
        <v>485</v>
      </c>
      <c r="N24" s="230"/>
      <c r="O24" s="225"/>
      <c r="P24" s="224"/>
      <c r="Q24" s="4"/>
      <c r="R24" s="2"/>
    </row>
    <row r="25" spans="1:18" ht="22.5">
      <c r="A25" s="78" t="s">
        <v>514</v>
      </c>
      <c r="B25" s="16" t="s">
        <v>490</v>
      </c>
      <c r="C25" s="14" t="s">
        <v>100</v>
      </c>
      <c r="D25" s="74">
        <f t="shared" si="1"/>
        <v>698.93</v>
      </c>
      <c r="E25" s="73"/>
      <c r="F25" s="119"/>
      <c r="G25" s="135"/>
      <c r="H25" s="122"/>
      <c r="I25" s="120">
        <v>1</v>
      </c>
      <c r="J25" s="429"/>
      <c r="K25" s="423">
        <v>698.93</v>
      </c>
      <c r="L25" s="213">
        <f>I25*K25</f>
        <v>698.93</v>
      </c>
      <c r="M25" s="1085"/>
      <c r="N25" s="230"/>
      <c r="O25" s="225"/>
      <c r="P25" s="224"/>
      <c r="Q25" s="4"/>
      <c r="R25" s="2"/>
    </row>
    <row r="26" spans="1:18" ht="22.5">
      <c r="A26" s="78" t="s">
        <v>515</v>
      </c>
      <c r="B26" s="16" t="s">
        <v>577</v>
      </c>
      <c r="C26" s="14" t="s">
        <v>100</v>
      </c>
      <c r="D26" s="74">
        <f t="shared" si="1"/>
        <v>124.99</v>
      </c>
      <c r="E26" s="73"/>
      <c r="F26" s="119"/>
      <c r="G26" s="135"/>
      <c r="H26" s="122"/>
      <c r="I26" s="120">
        <v>1</v>
      </c>
      <c r="J26" s="429"/>
      <c r="K26" s="423">
        <v>124.99</v>
      </c>
      <c r="L26" s="213">
        <f>I26*K26</f>
        <v>124.99</v>
      </c>
      <c r="M26" s="1085"/>
      <c r="N26" s="230"/>
      <c r="O26" s="225"/>
      <c r="P26" s="224"/>
      <c r="Q26" s="4"/>
      <c r="R26" s="2"/>
    </row>
    <row r="27" spans="1:18" ht="12.75">
      <c r="A27" s="78" t="s">
        <v>516</v>
      </c>
      <c r="B27" s="16" t="s">
        <v>498</v>
      </c>
      <c r="C27" s="14" t="s">
        <v>142</v>
      </c>
      <c r="D27" s="74">
        <f t="shared" si="1"/>
        <v>12.85</v>
      </c>
      <c r="E27" s="73"/>
      <c r="F27" s="119"/>
      <c r="G27" s="135"/>
      <c r="H27" s="122">
        <v>12.85</v>
      </c>
      <c r="I27" s="120">
        <v>1</v>
      </c>
      <c r="J27" s="429"/>
      <c r="K27" s="121"/>
      <c r="L27" s="213">
        <f>I27*H27</f>
        <v>12.85</v>
      </c>
      <c r="M27" s="1085"/>
      <c r="N27" s="230"/>
      <c r="O27" s="225"/>
      <c r="P27" s="224"/>
      <c r="Q27" s="4"/>
      <c r="R27" s="2"/>
    </row>
    <row r="28" spans="1:18" ht="22.5">
      <c r="A28" s="78" t="s">
        <v>517</v>
      </c>
      <c r="B28" s="16" t="s">
        <v>467</v>
      </c>
      <c r="C28" s="14" t="s">
        <v>142</v>
      </c>
      <c r="D28" s="74">
        <f t="shared" si="1"/>
        <v>12.85</v>
      </c>
      <c r="E28" s="73"/>
      <c r="F28" s="119"/>
      <c r="G28" s="135"/>
      <c r="H28" s="122">
        <v>12.85</v>
      </c>
      <c r="I28" s="120">
        <v>1</v>
      </c>
      <c r="J28" s="429"/>
      <c r="K28" s="121"/>
      <c r="L28" s="213">
        <f>I28*H28</f>
        <v>12.85</v>
      </c>
      <c r="M28" s="1085"/>
      <c r="N28" s="230"/>
      <c r="O28" s="225"/>
      <c r="P28" s="224"/>
      <c r="Q28" s="4"/>
      <c r="R28" s="2"/>
    </row>
    <row r="29" spans="1:18" ht="12.75">
      <c r="A29" s="78" t="s">
        <v>574</v>
      </c>
      <c r="B29" s="16" t="s">
        <v>499</v>
      </c>
      <c r="C29" s="14" t="s">
        <v>128</v>
      </c>
      <c r="D29" s="74">
        <f t="shared" si="1"/>
        <v>85.33</v>
      </c>
      <c r="E29" s="73"/>
      <c r="F29" s="119"/>
      <c r="G29" s="135"/>
      <c r="H29" s="122">
        <v>85.33</v>
      </c>
      <c r="I29" s="120">
        <v>1</v>
      </c>
      <c r="J29" s="429"/>
      <c r="K29" s="136"/>
      <c r="L29" s="207">
        <f>I29*H29</f>
        <v>85.33</v>
      </c>
      <c r="M29" s="1085"/>
      <c r="N29" s="230"/>
      <c r="O29" s="225"/>
      <c r="P29" s="224"/>
      <c r="Q29" s="4"/>
      <c r="R29" s="2"/>
    </row>
    <row r="30" spans="1:17" s="32" customFormat="1" ht="12.75">
      <c r="A30" s="80"/>
      <c r="B30" s="92"/>
      <c r="C30" s="501"/>
      <c r="D30" s="137"/>
      <c r="E30" s="138"/>
      <c r="F30" s="143"/>
      <c r="G30" s="139"/>
      <c r="H30" s="144"/>
      <c r="I30" s="144"/>
      <c r="J30" s="432"/>
      <c r="K30" s="140"/>
      <c r="L30" s="211"/>
      <c r="M30" s="519"/>
      <c r="N30" s="232"/>
      <c r="O30" s="233"/>
      <c r="P30" s="234"/>
      <c r="Q30" s="66"/>
    </row>
    <row r="31" spans="1:17" s="71" customFormat="1" ht="12.75">
      <c r="A31" s="77" t="s">
        <v>96</v>
      </c>
      <c r="B31" s="89" t="s">
        <v>88</v>
      </c>
      <c r="C31" s="20"/>
      <c r="D31" s="113"/>
      <c r="E31" s="114"/>
      <c r="F31" s="114"/>
      <c r="G31" s="115"/>
      <c r="H31" s="141"/>
      <c r="I31" s="141"/>
      <c r="J31" s="170"/>
      <c r="K31" s="142"/>
      <c r="L31" s="212"/>
      <c r="M31" s="520"/>
      <c r="N31" s="238"/>
      <c r="O31" s="241"/>
      <c r="P31" s="242"/>
      <c r="Q31" s="70"/>
    </row>
    <row r="32" spans="1:18" ht="33.75">
      <c r="A32" s="78" t="s">
        <v>154</v>
      </c>
      <c r="B32" s="90" t="s">
        <v>235</v>
      </c>
      <c r="C32" s="14" t="s">
        <v>100</v>
      </c>
      <c r="D32" s="74">
        <f aca="true" t="shared" si="2" ref="D32:D37">L32</f>
        <v>3219.4</v>
      </c>
      <c r="E32" s="73"/>
      <c r="F32" s="119"/>
      <c r="G32" s="135"/>
      <c r="H32" s="122"/>
      <c r="I32" s="120">
        <v>1</v>
      </c>
      <c r="J32" s="429"/>
      <c r="K32" s="423">
        <v>3219.4</v>
      </c>
      <c r="L32" s="207">
        <f>I32*K32</f>
        <v>3219.4</v>
      </c>
      <c r="M32" s="521" t="s">
        <v>379</v>
      </c>
      <c r="N32" s="230"/>
      <c r="O32" s="225"/>
      <c r="P32" s="243"/>
      <c r="Q32" s="4"/>
      <c r="R32" s="2"/>
    </row>
    <row r="33" spans="1:18" ht="22.5">
      <c r="A33" s="78" t="s">
        <v>155</v>
      </c>
      <c r="B33" s="90" t="s">
        <v>23</v>
      </c>
      <c r="C33" s="14" t="s">
        <v>128</v>
      </c>
      <c r="D33" s="74">
        <f t="shared" si="2"/>
        <v>743.85</v>
      </c>
      <c r="E33" s="73"/>
      <c r="F33" s="119"/>
      <c r="G33" s="135"/>
      <c r="H33" s="122">
        <v>743.85</v>
      </c>
      <c r="I33" s="120">
        <v>1</v>
      </c>
      <c r="J33" s="429"/>
      <c r="K33" s="121"/>
      <c r="L33" s="207">
        <f>I33*H33</f>
        <v>743.85</v>
      </c>
      <c r="M33" s="522" t="s">
        <v>380</v>
      </c>
      <c r="N33" s="230"/>
      <c r="O33" s="225"/>
      <c r="P33" s="243"/>
      <c r="Q33" s="4"/>
      <c r="R33" s="2"/>
    </row>
    <row r="34" spans="1:18" ht="22.5">
      <c r="A34" s="78" t="s">
        <v>518</v>
      </c>
      <c r="B34" s="90" t="s">
        <v>24</v>
      </c>
      <c r="C34" s="14" t="s">
        <v>127</v>
      </c>
      <c r="D34" s="74">
        <f t="shared" si="2"/>
        <v>73.5</v>
      </c>
      <c r="E34" s="73"/>
      <c r="F34" s="119"/>
      <c r="G34" s="135"/>
      <c r="H34" s="122"/>
      <c r="I34" s="120">
        <v>1</v>
      </c>
      <c r="J34" s="433">
        <v>73.5</v>
      </c>
      <c r="K34" s="121"/>
      <c r="L34" s="207">
        <f>I34*J34</f>
        <v>73.5</v>
      </c>
      <c r="M34" s="522" t="s">
        <v>380</v>
      </c>
      <c r="N34" s="230"/>
      <c r="O34" s="225"/>
      <c r="P34" s="243"/>
      <c r="Q34" s="4"/>
      <c r="R34" s="2"/>
    </row>
    <row r="35" spans="1:18" ht="22.5">
      <c r="A35" s="78" t="s">
        <v>520</v>
      </c>
      <c r="B35" s="29" t="s">
        <v>250</v>
      </c>
      <c r="C35" s="75" t="s">
        <v>138</v>
      </c>
      <c r="D35" s="74">
        <f t="shared" si="2"/>
        <v>5</v>
      </c>
      <c r="E35" s="73"/>
      <c r="F35" s="119"/>
      <c r="G35" s="135"/>
      <c r="H35" s="122"/>
      <c r="I35" s="185">
        <v>5</v>
      </c>
      <c r="J35" s="429"/>
      <c r="K35" s="424"/>
      <c r="L35" s="219">
        <f>I35</f>
        <v>5</v>
      </c>
      <c r="M35" s="566" t="s">
        <v>435</v>
      </c>
      <c r="N35" s="230"/>
      <c r="O35" s="225"/>
      <c r="P35" s="243"/>
      <c r="Q35" s="4"/>
      <c r="R35" s="2"/>
    </row>
    <row r="36" spans="1:18" ht="33.75">
      <c r="A36" s="78" t="s">
        <v>519</v>
      </c>
      <c r="B36" s="96" t="s">
        <v>132</v>
      </c>
      <c r="C36" s="554" t="s">
        <v>127</v>
      </c>
      <c r="D36" s="74">
        <f t="shared" si="2"/>
        <v>133.5</v>
      </c>
      <c r="E36" s="73"/>
      <c r="F36" s="119"/>
      <c r="G36" s="135"/>
      <c r="H36" s="122"/>
      <c r="I36" s="185">
        <v>1</v>
      </c>
      <c r="J36" s="434">
        <v>133.5</v>
      </c>
      <c r="K36" s="136"/>
      <c r="L36" s="219">
        <f>I36*J36</f>
        <v>133.5</v>
      </c>
      <c r="M36" s="567" t="s">
        <v>381</v>
      </c>
      <c r="N36" s="230"/>
      <c r="O36" s="225"/>
      <c r="P36" s="243"/>
      <c r="Q36" s="4"/>
      <c r="R36" s="2"/>
    </row>
    <row r="37" spans="1:18" ht="33.75">
      <c r="A37" s="78" t="s">
        <v>521</v>
      </c>
      <c r="B37" s="29" t="s">
        <v>1</v>
      </c>
      <c r="C37" s="75" t="s">
        <v>127</v>
      </c>
      <c r="D37" s="533">
        <f t="shared" si="2"/>
        <v>2.2</v>
      </c>
      <c r="E37" s="145"/>
      <c r="F37" s="123"/>
      <c r="G37" s="147"/>
      <c r="H37" s="148"/>
      <c r="I37" s="185">
        <v>1</v>
      </c>
      <c r="J37" s="434">
        <v>2.2</v>
      </c>
      <c r="K37" s="188"/>
      <c r="L37" s="219">
        <f>I37*J37</f>
        <v>2.2</v>
      </c>
      <c r="M37" s="566" t="s">
        <v>435</v>
      </c>
      <c r="N37" s="230"/>
      <c r="O37" s="225"/>
      <c r="P37" s="243"/>
      <c r="Q37" s="4"/>
      <c r="R37" s="2"/>
    </row>
    <row r="38" spans="1:17" s="32" customFormat="1" ht="12.75">
      <c r="A38" s="80"/>
      <c r="B38" s="92"/>
      <c r="C38" s="501"/>
      <c r="D38" s="137"/>
      <c r="E38" s="138"/>
      <c r="F38" s="143"/>
      <c r="G38" s="139"/>
      <c r="H38" s="144"/>
      <c r="I38" s="144"/>
      <c r="J38" s="432"/>
      <c r="K38" s="140"/>
      <c r="L38" s="211"/>
      <c r="M38" s="519"/>
      <c r="N38" s="232"/>
      <c r="O38" s="233"/>
      <c r="P38" s="244"/>
      <c r="Q38" s="66"/>
    </row>
    <row r="39" spans="1:17" s="69" customFormat="1" ht="12.75">
      <c r="A39" s="77" t="s">
        <v>106</v>
      </c>
      <c r="B39" s="89" t="s">
        <v>84</v>
      </c>
      <c r="C39" s="20"/>
      <c r="D39" s="113"/>
      <c r="E39" s="114"/>
      <c r="F39" s="114"/>
      <c r="G39" s="115"/>
      <c r="H39" s="141"/>
      <c r="I39" s="141"/>
      <c r="J39" s="170"/>
      <c r="K39" s="142"/>
      <c r="L39" s="212"/>
      <c r="M39" s="520"/>
      <c r="N39" s="238"/>
      <c r="O39" s="241"/>
      <c r="P39" s="240"/>
      <c r="Q39" s="70"/>
    </row>
    <row r="40" spans="1:18" ht="33.75">
      <c r="A40" s="78" t="s">
        <v>156</v>
      </c>
      <c r="B40" s="90" t="s">
        <v>25</v>
      </c>
      <c r="C40" s="14" t="s">
        <v>128</v>
      </c>
      <c r="D40" s="74">
        <f>L40</f>
        <v>24.75</v>
      </c>
      <c r="E40" s="73"/>
      <c r="F40" s="119">
        <v>0.9</v>
      </c>
      <c r="G40" s="135">
        <v>5.5</v>
      </c>
      <c r="H40" s="532">
        <f>IF(ISBLANK(F40),E40*G40,IF(ISBLANK(E40),F40*G40,IF(ISBLANK(G40),E40*F40,E40*F40*G40)))</f>
        <v>4.95</v>
      </c>
      <c r="I40" s="120">
        <v>5</v>
      </c>
      <c r="J40" s="429"/>
      <c r="K40" s="121"/>
      <c r="L40" s="207">
        <f>I40*H40</f>
        <v>24.75</v>
      </c>
      <c r="M40" s="514" t="s">
        <v>382</v>
      </c>
      <c r="N40" s="230"/>
      <c r="O40" s="225"/>
      <c r="P40" s="224"/>
      <c r="Q40" s="4"/>
      <c r="R40" s="2"/>
    </row>
    <row r="41" spans="1:17" s="32" customFormat="1" ht="12.75">
      <c r="A41" s="80"/>
      <c r="B41" s="92"/>
      <c r="C41" s="501"/>
      <c r="D41" s="137"/>
      <c r="E41" s="138"/>
      <c r="F41" s="143"/>
      <c r="G41" s="139"/>
      <c r="H41" s="144"/>
      <c r="I41" s="144"/>
      <c r="J41" s="432"/>
      <c r="K41" s="140"/>
      <c r="L41" s="211"/>
      <c r="M41" s="519"/>
      <c r="N41" s="232"/>
      <c r="O41" s="233"/>
      <c r="P41" s="234"/>
      <c r="Q41" s="66"/>
    </row>
    <row r="42" spans="1:17" s="71" customFormat="1" ht="12.75">
      <c r="A42" s="77" t="s">
        <v>157</v>
      </c>
      <c r="B42" s="89" t="s">
        <v>85</v>
      </c>
      <c r="C42" s="20"/>
      <c r="D42" s="113"/>
      <c r="E42" s="114"/>
      <c r="F42" s="114"/>
      <c r="G42" s="115"/>
      <c r="H42" s="141"/>
      <c r="I42" s="141"/>
      <c r="J42" s="170"/>
      <c r="K42" s="142"/>
      <c r="L42" s="212"/>
      <c r="M42" s="520"/>
      <c r="N42" s="238"/>
      <c r="O42" s="241"/>
      <c r="P42" s="242"/>
      <c r="Q42" s="70"/>
    </row>
    <row r="43" spans="1:18" ht="12.75">
      <c r="A43" s="1026" t="s">
        <v>158</v>
      </c>
      <c r="B43" s="1029" t="s">
        <v>36</v>
      </c>
      <c r="C43" s="1027" t="s">
        <v>128</v>
      </c>
      <c r="D43" s="1028">
        <f>SUM(L43,L44,L45,L46,L47,L48)</f>
        <v>253.43324958</v>
      </c>
      <c r="E43" s="73">
        <v>0.3</v>
      </c>
      <c r="F43" s="119">
        <v>6.25</v>
      </c>
      <c r="G43" s="135"/>
      <c r="H43" s="532">
        <f aca="true" t="shared" si="3" ref="H43:H48">IF(ISBLANK(F43),E43*G43,IF(ISBLANK(E43),F43*G43,IF(ISBLANK(G43),E43*F43,E43*F43*G43)))</f>
        <v>1.875</v>
      </c>
      <c r="I43" s="120">
        <v>28</v>
      </c>
      <c r="J43" s="429"/>
      <c r="K43" s="136"/>
      <c r="L43" s="207">
        <f aca="true" t="shared" si="4" ref="L43:L49">I43*H43</f>
        <v>52.5</v>
      </c>
      <c r="M43" s="514" t="s">
        <v>10</v>
      </c>
      <c r="N43" s="230"/>
      <c r="O43" s="225"/>
      <c r="P43" s="243"/>
      <c r="Q43" s="4"/>
      <c r="R43" s="2"/>
    </row>
    <row r="44" spans="1:18" ht="12.75">
      <c r="A44" s="1026"/>
      <c r="B44" s="1029"/>
      <c r="C44" s="1027"/>
      <c r="D44" s="1028"/>
      <c r="E44" s="73">
        <v>0.3</v>
      </c>
      <c r="F44" s="119">
        <v>2.55</v>
      </c>
      <c r="G44" s="135"/>
      <c r="H44" s="532">
        <f t="shared" si="3"/>
        <v>0.7649999999999999</v>
      </c>
      <c r="I44" s="120">
        <v>16</v>
      </c>
      <c r="J44" s="429"/>
      <c r="K44" s="136"/>
      <c r="L44" s="207">
        <f t="shared" si="4"/>
        <v>12.239999999999998</v>
      </c>
      <c r="M44" s="514" t="s">
        <v>11</v>
      </c>
      <c r="N44" s="230"/>
      <c r="O44" s="225"/>
      <c r="P44" s="243"/>
      <c r="Q44" s="4"/>
      <c r="R44" s="2"/>
    </row>
    <row r="45" spans="1:18" ht="12.75">
      <c r="A45" s="1026"/>
      <c r="B45" s="1029"/>
      <c r="C45" s="1027"/>
      <c r="D45" s="1028"/>
      <c r="E45" s="73">
        <v>0.15</v>
      </c>
      <c r="F45" s="119">
        <v>2.55</v>
      </c>
      <c r="G45" s="135"/>
      <c r="H45" s="532">
        <f t="shared" si="3"/>
        <v>0.38249999999999995</v>
      </c>
      <c r="I45" s="120">
        <v>16</v>
      </c>
      <c r="J45" s="429"/>
      <c r="K45" s="136"/>
      <c r="L45" s="207">
        <f t="shared" si="4"/>
        <v>6.119999999999999</v>
      </c>
      <c r="M45" s="514" t="s">
        <v>12</v>
      </c>
      <c r="N45" s="230"/>
      <c r="O45" s="225"/>
      <c r="P45" s="243"/>
      <c r="Q45" s="4"/>
      <c r="R45" s="2"/>
    </row>
    <row r="46" spans="1:18" ht="12.75">
      <c r="A46" s="1026"/>
      <c r="B46" s="1029"/>
      <c r="C46" s="1027"/>
      <c r="D46" s="1028"/>
      <c r="E46" s="73"/>
      <c r="F46" s="119">
        <v>0.9</v>
      </c>
      <c r="G46" s="135">
        <v>5.5</v>
      </c>
      <c r="H46" s="532">
        <f t="shared" si="3"/>
        <v>4.95</v>
      </c>
      <c r="I46" s="120">
        <v>10</v>
      </c>
      <c r="J46" s="429"/>
      <c r="K46" s="136"/>
      <c r="L46" s="207">
        <f t="shared" si="4"/>
        <v>49.5</v>
      </c>
      <c r="M46" s="514" t="s">
        <v>13</v>
      </c>
      <c r="N46" s="230"/>
      <c r="O46" s="225"/>
      <c r="P46" s="243"/>
      <c r="Q46" s="4"/>
      <c r="R46" s="2"/>
    </row>
    <row r="47" spans="1:18" ht="12.75">
      <c r="A47" s="1026"/>
      <c r="B47" s="1029"/>
      <c r="C47" s="1027"/>
      <c r="D47" s="1028"/>
      <c r="E47" s="73">
        <v>0.1503</v>
      </c>
      <c r="F47" s="119"/>
      <c r="G47" s="135">
        <v>5.5</v>
      </c>
      <c r="H47" s="532">
        <f t="shared" si="3"/>
        <v>0.8266499999999999</v>
      </c>
      <c r="I47" s="120">
        <v>5</v>
      </c>
      <c r="J47" s="429"/>
      <c r="K47" s="136"/>
      <c r="L47" s="207">
        <f t="shared" si="4"/>
        <v>4.133249999999999</v>
      </c>
      <c r="M47" s="514" t="s">
        <v>14</v>
      </c>
      <c r="N47" s="230"/>
      <c r="O47" s="225"/>
      <c r="P47" s="243"/>
      <c r="Q47" s="4"/>
      <c r="R47" s="2"/>
    </row>
    <row r="48" spans="1:18" ht="33.75">
      <c r="A48" s="1026"/>
      <c r="B48" s="1029"/>
      <c r="C48" s="1027"/>
      <c r="D48" s="1028"/>
      <c r="E48" s="73">
        <v>18.9</v>
      </c>
      <c r="F48" s="119">
        <v>3.4111111</v>
      </c>
      <c r="G48" s="135"/>
      <c r="H48" s="532">
        <f t="shared" si="3"/>
        <v>64.46999978999999</v>
      </c>
      <c r="I48" s="120">
        <v>2</v>
      </c>
      <c r="J48" s="429"/>
      <c r="K48" s="136"/>
      <c r="L48" s="207">
        <f t="shared" si="4"/>
        <v>128.93999957999998</v>
      </c>
      <c r="M48" s="523" t="s">
        <v>16</v>
      </c>
      <c r="N48" s="230"/>
      <c r="O48" s="225"/>
      <c r="P48" s="243"/>
      <c r="Q48" s="4"/>
      <c r="R48" s="2"/>
    </row>
    <row r="49" spans="1:18" ht="45">
      <c r="A49" s="78" t="s">
        <v>208</v>
      </c>
      <c r="B49" s="90" t="s">
        <v>35</v>
      </c>
      <c r="C49" s="14" t="s">
        <v>128</v>
      </c>
      <c r="D49" s="74">
        <f>L49</f>
        <v>253.43</v>
      </c>
      <c r="E49" s="73"/>
      <c r="F49" s="119"/>
      <c r="G49" s="135"/>
      <c r="H49" s="534">
        <v>253.43</v>
      </c>
      <c r="I49" s="120">
        <v>1</v>
      </c>
      <c r="J49" s="429"/>
      <c r="K49" s="136"/>
      <c r="L49" s="207">
        <f t="shared" si="4"/>
        <v>253.43</v>
      </c>
      <c r="M49" s="514" t="s">
        <v>15</v>
      </c>
      <c r="N49" s="230"/>
      <c r="O49" s="225"/>
      <c r="P49" s="224"/>
      <c r="Q49" s="4"/>
      <c r="R49" s="2"/>
    </row>
    <row r="50" spans="1:17" s="32" customFormat="1" ht="12.75">
      <c r="A50" s="81"/>
      <c r="B50" s="92"/>
      <c r="C50" s="501"/>
      <c r="D50" s="137"/>
      <c r="E50" s="138"/>
      <c r="F50" s="143"/>
      <c r="G50" s="139"/>
      <c r="H50" s="144"/>
      <c r="I50" s="144"/>
      <c r="J50" s="432"/>
      <c r="K50" s="140"/>
      <c r="L50" s="211"/>
      <c r="M50" s="519"/>
      <c r="N50" s="232"/>
      <c r="O50" s="233"/>
      <c r="P50" s="234"/>
      <c r="Q50" s="66"/>
    </row>
    <row r="51" spans="1:17" s="71" customFormat="1" ht="12.75">
      <c r="A51" s="77" t="s">
        <v>159</v>
      </c>
      <c r="B51" s="89" t="s">
        <v>86</v>
      </c>
      <c r="C51" s="20"/>
      <c r="D51" s="113"/>
      <c r="E51" s="114"/>
      <c r="F51" s="114"/>
      <c r="G51" s="115"/>
      <c r="H51" s="141"/>
      <c r="I51" s="141"/>
      <c r="J51" s="170"/>
      <c r="K51" s="142"/>
      <c r="L51" s="212"/>
      <c r="M51" s="520"/>
      <c r="N51" s="238"/>
      <c r="O51" s="241"/>
      <c r="P51" s="242"/>
      <c r="Q51" s="70"/>
    </row>
    <row r="52" spans="1:18" s="1" customFormat="1" ht="33.75">
      <c r="A52" s="78" t="s">
        <v>160</v>
      </c>
      <c r="B52" s="90" t="s">
        <v>27</v>
      </c>
      <c r="C52" s="14" t="s">
        <v>128</v>
      </c>
      <c r="D52" s="74">
        <f>L52</f>
        <v>576.6</v>
      </c>
      <c r="E52" s="73">
        <v>18.6</v>
      </c>
      <c r="F52" s="119"/>
      <c r="G52" s="118">
        <v>31</v>
      </c>
      <c r="H52" s="532">
        <f>IF(ISBLANK(F52),E52*G52,IF(ISBLANK(E52),F52*G52,IF(ISBLANK(G52),E52*F52,E52*F52*G52)))</f>
        <v>576.6</v>
      </c>
      <c r="I52" s="120">
        <v>1</v>
      </c>
      <c r="J52" s="429"/>
      <c r="K52" s="121"/>
      <c r="L52" s="207">
        <f>I52*H52</f>
        <v>576.6</v>
      </c>
      <c r="M52" s="1019" t="s">
        <v>494</v>
      </c>
      <c r="N52" s="230"/>
      <c r="O52" s="231"/>
      <c r="P52" s="243"/>
      <c r="Q52" s="4"/>
      <c r="R52" s="5"/>
    </row>
    <row r="53" spans="1:18" ht="33.75">
      <c r="A53" s="78" t="s">
        <v>522</v>
      </c>
      <c r="B53" s="90" t="s">
        <v>28</v>
      </c>
      <c r="C53" s="14" t="s">
        <v>128</v>
      </c>
      <c r="D53" s="74">
        <f>L53</f>
        <v>576.6</v>
      </c>
      <c r="E53" s="73">
        <v>18.6</v>
      </c>
      <c r="F53" s="119"/>
      <c r="G53" s="118">
        <v>31</v>
      </c>
      <c r="H53" s="534">
        <f>IF(ISBLANK(F53),E53*G53,IF(ISBLANK(E53),F53*G53,IF(ISBLANK(G53),E53*F53,E53*F53*G53)))</f>
        <v>576.6</v>
      </c>
      <c r="I53" s="120">
        <v>1</v>
      </c>
      <c r="J53" s="429"/>
      <c r="K53" s="121"/>
      <c r="L53" s="207">
        <f>I53*H53</f>
        <v>576.6</v>
      </c>
      <c r="M53" s="1084"/>
      <c r="N53" s="230"/>
      <c r="O53" s="225"/>
      <c r="P53" s="243"/>
      <c r="Q53" s="4"/>
      <c r="R53" s="2"/>
    </row>
    <row r="54" spans="1:17" s="32" customFormat="1" ht="12.75">
      <c r="A54" s="81"/>
      <c r="B54" s="92"/>
      <c r="C54" s="501"/>
      <c r="D54" s="137"/>
      <c r="E54" s="138"/>
      <c r="F54" s="143"/>
      <c r="G54" s="139"/>
      <c r="H54" s="144"/>
      <c r="I54" s="144"/>
      <c r="J54" s="432"/>
      <c r="K54" s="140"/>
      <c r="L54" s="211"/>
      <c r="M54" s="519"/>
      <c r="N54" s="245"/>
      <c r="O54" s="233"/>
      <c r="P54" s="233"/>
      <c r="Q54" s="66"/>
    </row>
    <row r="55" spans="1:17" s="69" customFormat="1" ht="12.75">
      <c r="A55" s="77" t="s">
        <v>161</v>
      </c>
      <c r="B55" s="89" t="s">
        <v>230</v>
      </c>
      <c r="C55" s="20"/>
      <c r="D55" s="113"/>
      <c r="E55" s="114"/>
      <c r="F55" s="114"/>
      <c r="G55" s="133"/>
      <c r="H55" s="113"/>
      <c r="I55" s="113"/>
      <c r="J55" s="170"/>
      <c r="K55" s="134"/>
      <c r="L55" s="210"/>
      <c r="M55" s="517"/>
      <c r="N55" s="246"/>
      <c r="O55" s="239"/>
      <c r="P55" s="239"/>
      <c r="Q55" s="70"/>
    </row>
    <row r="56" spans="1:18" ht="15" customHeight="1">
      <c r="A56" s="1026" t="s">
        <v>162</v>
      </c>
      <c r="B56" s="1029" t="s">
        <v>47</v>
      </c>
      <c r="C56" s="1027" t="s">
        <v>128</v>
      </c>
      <c r="D56" s="1028">
        <f>SUM(L56,L57)</f>
        <v>191.675</v>
      </c>
      <c r="E56" s="73">
        <v>5.5</v>
      </c>
      <c r="F56" s="119">
        <v>4</v>
      </c>
      <c r="G56" s="135"/>
      <c r="H56" s="532">
        <f>IF(ISBLANK(F56),E56*G56,IF(ISBLANK(E56),F56*G56,IF(ISBLANK(G56),E56*F56,E56*F56*G56)))</f>
        <v>22</v>
      </c>
      <c r="I56" s="120">
        <v>5</v>
      </c>
      <c r="J56" s="429"/>
      <c r="K56" s="121"/>
      <c r="L56" s="207">
        <f>I56*H56</f>
        <v>110</v>
      </c>
      <c r="M56" s="514" t="s">
        <v>17</v>
      </c>
      <c r="N56" s="230"/>
      <c r="O56" s="225"/>
      <c r="P56" s="225"/>
      <c r="Q56" s="4"/>
      <c r="R56" s="2"/>
    </row>
    <row r="57" spans="1:18" ht="15.75" customHeight="1">
      <c r="A57" s="1026"/>
      <c r="B57" s="1029"/>
      <c r="C57" s="1027"/>
      <c r="D57" s="1028"/>
      <c r="E57" s="73">
        <v>5.5</v>
      </c>
      <c r="F57" s="119">
        <v>2.7</v>
      </c>
      <c r="G57" s="135"/>
      <c r="H57" s="532">
        <f>IF(ISBLANK(F57),E57*G57,IF(ISBLANK(E57),F57*G57,IF(ISBLANK(G57),E57*F57,E57*F57*G57)))</f>
        <v>14.850000000000001</v>
      </c>
      <c r="I57" s="120">
        <v>5.5</v>
      </c>
      <c r="J57" s="429"/>
      <c r="K57" s="121"/>
      <c r="L57" s="207">
        <f>I57*H57</f>
        <v>81.67500000000001</v>
      </c>
      <c r="M57" s="514" t="s">
        <v>18</v>
      </c>
      <c r="N57" s="230"/>
      <c r="O57" s="225"/>
      <c r="P57" s="225"/>
      <c r="Q57" s="4"/>
      <c r="R57" s="2"/>
    </row>
    <row r="58" spans="1:18" ht="22.5">
      <c r="A58" s="78" t="s">
        <v>163</v>
      </c>
      <c r="B58" s="90" t="s">
        <v>29</v>
      </c>
      <c r="C58" s="14" t="s">
        <v>128</v>
      </c>
      <c r="D58" s="74">
        <f>L58</f>
        <v>5.720000000000001</v>
      </c>
      <c r="E58" s="73">
        <v>2.2</v>
      </c>
      <c r="F58" s="119">
        <v>2.6</v>
      </c>
      <c r="G58" s="135"/>
      <c r="H58" s="532">
        <f>IF(ISBLANK(F58),E58*G58,IF(ISBLANK(E58),F58*G58,IF(ISBLANK(G58),E58*F58,E58*F58*G58)))</f>
        <v>5.720000000000001</v>
      </c>
      <c r="I58" s="120">
        <v>1</v>
      </c>
      <c r="J58" s="429"/>
      <c r="K58" s="136"/>
      <c r="L58" s="207">
        <f>I58*H58</f>
        <v>5.720000000000001</v>
      </c>
      <c r="M58" s="514"/>
      <c r="N58" s="247"/>
      <c r="O58" s="225"/>
      <c r="P58" s="225"/>
      <c r="Q58" s="4"/>
      <c r="R58" s="2"/>
    </row>
    <row r="59" spans="1:18" ht="22.5">
      <c r="A59" s="78" t="s">
        <v>523</v>
      </c>
      <c r="B59" s="90" t="s">
        <v>51</v>
      </c>
      <c r="C59" s="14" t="s">
        <v>128</v>
      </c>
      <c r="D59" s="74">
        <f>L59</f>
        <v>57</v>
      </c>
      <c r="E59" s="73">
        <v>19</v>
      </c>
      <c r="F59" s="119">
        <v>3</v>
      </c>
      <c r="G59" s="135"/>
      <c r="H59" s="534">
        <f>IF(ISBLANK(F59),E59*G59,IF(ISBLANK(E59),F59*G59,IF(ISBLANK(G59),E59*F59,E59*F59*G59)))</f>
        <v>57</v>
      </c>
      <c r="I59" s="120">
        <v>1</v>
      </c>
      <c r="J59" s="429"/>
      <c r="K59" s="136"/>
      <c r="L59" s="207">
        <f>I59*H59</f>
        <v>57</v>
      </c>
      <c r="M59" s="514"/>
      <c r="N59" s="247"/>
      <c r="O59" s="225"/>
      <c r="P59" s="225"/>
      <c r="Q59" s="4"/>
      <c r="R59" s="2"/>
    </row>
    <row r="60" spans="1:17" s="32" customFormat="1" ht="12.75">
      <c r="A60" s="82"/>
      <c r="B60" s="92"/>
      <c r="C60" s="501"/>
      <c r="D60" s="137"/>
      <c r="E60" s="138"/>
      <c r="F60" s="143"/>
      <c r="G60" s="139"/>
      <c r="H60" s="144"/>
      <c r="I60" s="144"/>
      <c r="J60" s="432"/>
      <c r="K60" s="140"/>
      <c r="L60" s="211"/>
      <c r="M60" s="519"/>
      <c r="N60" s="245"/>
      <c r="O60" s="233"/>
      <c r="P60" s="233"/>
      <c r="Q60" s="66"/>
    </row>
    <row r="61" spans="1:17" s="71" customFormat="1" ht="12.75">
      <c r="A61" s="77" t="s">
        <v>164</v>
      </c>
      <c r="B61" s="89" t="s">
        <v>87</v>
      </c>
      <c r="C61" s="22"/>
      <c r="D61" s="113"/>
      <c r="E61" s="149"/>
      <c r="F61" s="149"/>
      <c r="G61" s="115"/>
      <c r="H61" s="141"/>
      <c r="I61" s="141"/>
      <c r="J61" s="170"/>
      <c r="K61" s="142"/>
      <c r="L61" s="212"/>
      <c r="M61" s="520"/>
      <c r="N61" s="238"/>
      <c r="O61" s="241"/>
      <c r="P61" s="242"/>
      <c r="Q61" s="70"/>
    </row>
    <row r="62" spans="1:18" s="1" customFormat="1" ht="22.5">
      <c r="A62" s="564" t="s">
        <v>165</v>
      </c>
      <c r="B62" s="96" t="s">
        <v>125</v>
      </c>
      <c r="C62" s="14" t="s">
        <v>138</v>
      </c>
      <c r="D62" s="74">
        <f aca="true" t="shared" si="5" ref="D62:D73">L62</f>
        <v>1</v>
      </c>
      <c r="E62" s="145"/>
      <c r="F62" s="146"/>
      <c r="G62" s="150"/>
      <c r="H62" s="148"/>
      <c r="I62" s="185">
        <v>1</v>
      </c>
      <c r="J62" s="422"/>
      <c r="K62" s="124"/>
      <c r="L62" s="207">
        <f>I62</f>
        <v>1</v>
      </c>
      <c r="M62" s="1086" t="s">
        <v>391</v>
      </c>
      <c r="N62" s="230"/>
      <c r="O62" s="231"/>
      <c r="P62" s="243"/>
      <c r="Q62" s="4"/>
      <c r="R62" s="5"/>
    </row>
    <row r="63" spans="1:17" s="7" customFormat="1" ht="33.75">
      <c r="A63" s="34" t="s">
        <v>166</v>
      </c>
      <c r="B63" s="561" t="s">
        <v>126</v>
      </c>
      <c r="C63" s="14" t="s">
        <v>138</v>
      </c>
      <c r="D63" s="74">
        <f t="shared" si="5"/>
        <v>1</v>
      </c>
      <c r="E63" s="145"/>
      <c r="F63" s="146"/>
      <c r="G63" s="147"/>
      <c r="H63" s="148"/>
      <c r="I63" s="185">
        <v>1</v>
      </c>
      <c r="J63" s="422"/>
      <c r="K63" s="124"/>
      <c r="L63" s="207">
        <f aca="true" t="shared" si="6" ref="L63:L71">I63</f>
        <v>1</v>
      </c>
      <c r="M63" s="1087"/>
      <c r="N63" s="230"/>
      <c r="O63" s="249"/>
      <c r="P63" s="250"/>
      <c r="Q63" s="8"/>
    </row>
    <row r="64" spans="1:18" s="1" customFormat="1" ht="22.5">
      <c r="A64" s="34" t="s">
        <v>524</v>
      </c>
      <c r="B64" s="90" t="s">
        <v>43</v>
      </c>
      <c r="C64" s="14" t="s">
        <v>138</v>
      </c>
      <c r="D64" s="74">
        <f t="shared" si="5"/>
        <v>2</v>
      </c>
      <c r="E64" s="73"/>
      <c r="F64" s="151"/>
      <c r="G64" s="118"/>
      <c r="H64" s="122"/>
      <c r="I64" s="120">
        <v>2</v>
      </c>
      <c r="J64" s="422"/>
      <c r="K64" s="121"/>
      <c r="L64" s="207">
        <f t="shared" si="6"/>
        <v>2</v>
      </c>
      <c r="M64" s="1087"/>
      <c r="N64" s="230"/>
      <c r="O64" s="231"/>
      <c r="P64" s="243"/>
      <c r="Q64" s="4"/>
      <c r="R64" s="5"/>
    </row>
    <row r="65" spans="1:18" s="1" customFormat="1" ht="22.5">
      <c r="A65" s="34" t="s">
        <v>525</v>
      </c>
      <c r="B65" s="90" t="s">
        <v>44</v>
      </c>
      <c r="C65" s="14" t="s">
        <v>138</v>
      </c>
      <c r="D65" s="74">
        <f t="shared" si="5"/>
        <v>2</v>
      </c>
      <c r="E65" s="73"/>
      <c r="F65" s="151"/>
      <c r="G65" s="152"/>
      <c r="H65" s="122"/>
      <c r="I65" s="120">
        <v>2</v>
      </c>
      <c r="J65" s="422"/>
      <c r="K65" s="121"/>
      <c r="L65" s="207">
        <f t="shared" si="6"/>
        <v>2</v>
      </c>
      <c r="M65" s="1087"/>
      <c r="N65" s="230"/>
      <c r="O65" s="231"/>
      <c r="P65" s="243"/>
      <c r="Q65" s="4"/>
      <c r="R65" s="5"/>
    </row>
    <row r="66" spans="1:18" s="1" customFormat="1" ht="22.5">
      <c r="A66" s="34" t="s">
        <v>526</v>
      </c>
      <c r="B66" s="90" t="s">
        <v>45</v>
      </c>
      <c r="C66" s="14" t="s">
        <v>138</v>
      </c>
      <c r="D66" s="74">
        <f t="shared" si="5"/>
        <v>10</v>
      </c>
      <c r="E66" s="73"/>
      <c r="F66" s="151"/>
      <c r="G66" s="152"/>
      <c r="H66" s="122"/>
      <c r="I66" s="120">
        <v>10</v>
      </c>
      <c r="J66" s="422"/>
      <c r="K66" s="121"/>
      <c r="L66" s="207">
        <f t="shared" si="6"/>
        <v>10</v>
      </c>
      <c r="M66" s="1087"/>
      <c r="N66" s="230"/>
      <c r="O66" s="231"/>
      <c r="P66" s="243"/>
      <c r="Q66" s="4"/>
      <c r="R66" s="5"/>
    </row>
    <row r="67" spans="1:18" s="1" customFormat="1" ht="22.5">
      <c r="A67" s="34" t="s">
        <v>527</v>
      </c>
      <c r="B67" s="90" t="s">
        <v>133</v>
      </c>
      <c r="C67" s="14" t="s">
        <v>127</v>
      </c>
      <c r="D67" s="74">
        <f t="shared" si="5"/>
        <v>48</v>
      </c>
      <c r="E67" s="73"/>
      <c r="F67" s="151"/>
      <c r="G67" s="118"/>
      <c r="H67" s="122"/>
      <c r="I67" s="120"/>
      <c r="J67" s="422">
        <v>48</v>
      </c>
      <c r="K67" s="136"/>
      <c r="L67" s="207">
        <f>J67</f>
        <v>48</v>
      </c>
      <c r="M67" s="1087"/>
      <c r="N67" s="230"/>
      <c r="O67" s="231"/>
      <c r="P67" s="243"/>
      <c r="Q67" s="4"/>
      <c r="R67" s="5"/>
    </row>
    <row r="68" spans="1:18" s="1" customFormat="1" ht="22.5">
      <c r="A68" s="34" t="s">
        <v>528</v>
      </c>
      <c r="B68" s="90" t="s">
        <v>31</v>
      </c>
      <c r="C68" s="14" t="s">
        <v>138</v>
      </c>
      <c r="D68" s="74">
        <f t="shared" si="5"/>
        <v>3</v>
      </c>
      <c r="E68" s="73"/>
      <c r="F68" s="151"/>
      <c r="G68" s="118"/>
      <c r="H68" s="122"/>
      <c r="I68" s="120">
        <v>3</v>
      </c>
      <c r="J68" s="422"/>
      <c r="K68" s="136"/>
      <c r="L68" s="207">
        <f t="shared" si="6"/>
        <v>3</v>
      </c>
      <c r="M68" s="1087"/>
      <c r="N68" s="230"/>
      <c r="O68" s="231"/>
      <c r="P68" s="243"/>
      <c r="Q68" s="4"/>
      <c r="R68" s="5"/>
    </row>
    <row r="69" spans="1:18" s="1" customFormat="1" ht="22.5">
      <c r="A69" s="34" t="s">
        <v>529</v>
      </c>
      <c r="B69" s="29" t="s">
        <v>115</v>
      </c>
      <c r="C69" s="14" t="s">
        <v>127</v>
      </c>
      <c r="D69" s="74">
        <f>L69</f>
        <v>456</v>
      </c>
      <c r="E69" s="73"/>
      <c r="F69" s="151"/>
      <c r="G69" s="118"/>
      <c r="H69" s="122"/>
      <c r="I69" s="120"/>
      <c r="J69" s="422">
        <v>456</v>
      </c>
      <c r="K69" s="136"/>
      <c r="L69" s="207">
        <f>J69</f>
        <v>456</v>
      </c>
      <c r="M69" s="1087"/>
      <c r="N69" s="230"/>
      <c r="O69" s="231"/>
      <c r="P69" s="243"/>
      <c r="Q69" s="4"/>
      <c r="R69" s="5"/>
    </row>
    <row r="70" spans="1:18" s="1" customFormat="1" ht="12.75">
      <c r="A70" s="34" t="s">
        <v>530</v>
      </c>
      <c r="B70" s="90" t="s">
        <v>32</v>
      </c>
      <c r="C70" s="14" t="s">
        <v>138</v>
      </c>
      <c r="D70" s="74">
        <f t="shared" si="5"/>
        <v>12</v>
      </c>
      <c r="E70" s="73"/>
      <c r="F70" s="151"/>
      <c r="G70" s="118"/>
      <c r="H70" s="122"/>
      <c r="I70" s="120">
        <v>12</v>
      </c>
      <c r="J70" s="422"/>
      <c r="K70" s="136"/>
      <c r="L70" s="207">
        <f t="shared" si="6"/>
        <v>12</v>
      </c>
      <c r="M70" s="1087"/>
      <c r="N70" s="230"/>
      <c r="O70" s="231"/>
      <c r="P70" s="243"/>
      <c r="Q70" s="4"/>
      <c r="R70" s="5"/>
    </row>
    <row r="71" spans="1:18" s="1" customFormat="1" ht="12.75">
      <c r="A71" s="34" t="s">
        <v>531</v>
      </c>
      <c r="B71" s="90" t="s">
        <v>33</v>
      </c>
      <c r="C71" s="14" t="s">
        <v>138</v>
      </c>
      <c r="D71" s="74">
        <f t="shared" si="5"/>
        <v>12</v>
      </c>
      <c r="E71" s="73"/>
      <c r="F71" s="151"/>
      <c r="G71" s="118"/>
      <c r="H71" s="122"/>
      <c r="I71" s="120">
        <v>12</v>
      </c>
      <c r="J71" s="438"/>
      <c r="K71" s="136"/>
      <c r="L71" s="207">
        <f t="shared" si="6"/>
        <v>12</v>
      </c>
      <c r="M71" s="1087"/>
      <c r="N71" s="230"/>
      <c r="O71" s="231"/>
      <c r="P71" s="243"/>
      <c r="Q71" s="4"/>
      <c r="R71" s="5"/>
    </row>
    <row r="72" spans="1:18" s="1" customFormat="1" ht="22.5">
      <c r="A72" s="34" t="s">
        <v>532</v>
      </c>
      <c r="B72" s="29" t="s">
        <v>248</v>
      </c>
      <c r="C72" s="14" t="s">
        <v>127</v>
      </c>
      <c r="D72" s="74">
        <f t="shared" si="5"/>
        <v>96</v>
      </c>
      <c r="E72" s="73"/>
      <c r="F72" s="151"/>
      <c r="G72" s="118"/>
      <c r="H72" s="122"/>
      <c r="I72" s="120"/>
      <c r="J72" s="422">
        <v>96</v>
      </c>
      <c r="K72" s="136"/>
      <c r="L72" s="207">
        <f>J72</f>
        <v>96</v>
      </c>
      <c r="M72" s="1087"/>
      <c r="N72" s="230"/>
      <c r="O72" s="231"/>
      <c r="P72" s="243"/>
      <c r="Q72" s="4"/>
      <c r="R72" s="5"/>
    </row>
    <row r="73" spans="1:18" s="1" customFormat="1" ht="22.5">
      <c r="A73" s="34" t="s">
        <v>533</v>
      </c>
      <c r="B73" s="29" t="s">
        <v>249</v>
      </c>
      <c r="C73" s="14" t="s">
        <v>127</v>
      </c>
      <c r="D73" s="74">
        <f t="shared" si="5"/>
        <v>192</v>
      </c>
      <c r="E73" s="73"/>
      <c r="F73" s="151"/>
      <c r="G73" s="118"/>
      <c r="H73" s="122"/>
      <c r="I73" s="120"/>
      <c r="J73" s="422">
        <v>192</v>
      </c>
      <c r="K73" s="136"/>
      <c r="L73" s="207">
        <f>J73</f>
        <v>192</v>
      </c>
      <c r="M73" s="1087"/>
      <c r="N73" s="230"/>
      <c r="O73" s="231"/>
      <c r="P73" s="243"/>
      <c r="Q73" s="4"/>
      <c r="R73" s="5"/>
    </row>
    <row r="74" spans="1:17" s="72" customFormat="1" ht="12.75">
      <c r="A74" s="82"/>
      <c r="B74" s="565"/>
      <c r="C74" s="501"/>
      <c r="D74" s="137"/>
      <c r="E74" s="138"/>
      <c r="F74" s="143"/>
      <c r="G74" s="153"/>
      <c r="H74" s="144"/>
      <c r="I74" s="144"/>
      <c r="J74" s="432"/>
      <c r="K74" s="140"/>
      <c r="L74" s="211"/>
      <c r="M74" s="519"/>
      <c r="N74" s="232"/>
      <c r="O74" s="251"/>
      <c r="P74" s="244"/>
      <c r="Q74" s="66"/>
    </row>
    <row r="75" spans="1:17" s="69" customFormat="1" ht="12.75">
      <c r="A75" s="77" t="s">
        <v>167</v>
      </c>
      <c r="B75" s="93" t="s">
        <v>89</v>
      </c>
      <c r="C75" s="23"/>
      <c r="D75" s="154"/>
      <c r="E75" s="155"/>
      <c r="F75" s="155"/>
      <c r="G75" s="156"/>
      <c r="H75" s="157"/>
      <c r="I75" s="157"/>
      <c r="J75" s="170"/>
      <c r="K75" s="158"/>
      <c r="L75" s="214"/>
      <c r="M75" s="524"/>
      <c r="N75" s="238"/>
      <c r="O75" s="241"/>
      <c r="P75" s="240"/>
      <c r="Q75" s="70"/>
    </row>
    <row r="76" spans="1:18" ht="12.75">
      <c r="A76" s="78" t="s">
        <v>168</v>
      </c>
      <c r="B76" s="90" t="s">
        <v>144</v>
      </c>
      <c r="C76" s="14" t="s">
        <v>128</v>
      </c>
      <c r="D76" s="74">
        <f>L76</f>
        <v>576.6</v>
      </c>
      <c r="E76" s="73">
        <v>18.6</v>
      </c>
      <c r="F76" s="151"/>
      <c r="G76" s="118">
        <v>31</v>
      </c>
      <c r="H76" s="532">
        <f>IF(ISBLANK(F76),E76*G76,IF(ISBLANK(E76),F76*G76,IF(ISBLANK(G76),E76*F76,E76*F76*G76)))</f>
        <v>576.6</v>
      </c>
      <c r="I76" s="120">
        <v>1</v>
      </c>
      <c r="J76" s="422"/>
      <c r="K76" s="121"/>
      <c r="L76" s="207">
        <f>I76*H76</f>
        <v>576.6</v>
      </c>
      <c r="M76" s="514" t="s">
        <v>461</v>
      </c>
      <c r="N76" s="230"/>
      <c r="O76" s="231"/>
      <c r="P76" s="224"/>
      <c r="Q76" s="4"/>
      <c r="R76" s="2"/>
    </row>
    <row r="77" spans="1:18" ht="12.75">
      <c r="A77" s="78" t="s">
        <v>169</v>
      </c>
      <c r="B77" s="90" t="s">
        <v>145</v>
      </c>
      <c r="C77" s="18" t="s">
        <v>127</v>
      </c>
      <c r="D77" s="74">
        <f>L77</f>
        <v>363.34</v>
      </c>
      <c r="E77" s="73"/>
      <c r="F77" s="151"/>
      <c r="G77" s="135"/>
      <c r="H77" s="532"/>
      <c r="I77" s="120">
        <v>1</v>
      </c>
      <c r="J77" s="422">
        <v>363.34</v>
      </c>
      <c r="K77" s="136"/>
      <c r="L77" s="207">
        <f>J77</f>
        <v>363.34</v>
      </c>
      <c r="M77" s="514"/>
      <c r="N77" s="230"/>
      <c r="O77" s="225"/>
      <c r="P77" s="224"/>
      <c r="Q77" s="4"/>
      <c r="R77" s="2"/>
    </row>
    <row r="78" spans="1:18" ht="12.75">
      <c r="A78" s="78" t="s">
        <v>49</v>
      </c>
      <c r="B78" s="90" t="s">
        <v>34</v>
      </c>
      <c r="C78" s="14" t="s">
        <v>128</v>
      </c>
      <c r="D78" s="74">
        <v>253.43</v>
      </c>
      <c r="E78" s="73"/>
      <c r="F78" s="151"/>
      <c r="G78" s="135"/>
      <c r="H78" s="532">
        <v>253.43</v>
      </c>
      <c r="I78" s="120">
        <v>1</v>
      </c>
      <c r="J78" s="422"/>
      <c r="K78" s="121"/>
      <c r="L78" s="207">
        <f>I78*H78</f>
        <v>253.43</v>
      </c>
      <c r="M78" s="1025" t="s">
        <v>422</v>
      </c>
      <c r="N78" s="230"/>
      <c r="O78" s="225"/>
      <c r="P78" s="224"/>
      <c r="Q78" s="4"/>
      <c r="R78" s="2"/>
    </row>
    <row r="79" spans="1:18" ht="22.5">
      <c r="A79" s="78" t="s">
        <v>50</v>
      </c>
      <c r="B79" s="90" t="s">
        <v>146</v>
      </c>
      <c r="C79" s="14" t="s">
        <v>128</v>
      </c>
      <c r="D79" s="74">
        <v>253.43</v>
      </c>
      <c r="E79" s="73"/>
      <c r="F79" s="151"/>
      <c r="G79" s="135"/>
      <c r="H79" s="532">
        <v>253.43</v>
      </c>
      <c r="I79" s="120">
        <v>1</v>
      </c>
      <c r="J79" s="422"/>
      <c r="K79" s="121"/>
      <c r="L79" s="207">
        <f>I79*H79</f>
        <v>253.43</v>
      </c>
      <c r="M79" s="1025"/>
      <c r="N79" s="230"/>
      <c r="O79" s="225"/>
      <c r="P79" s="224"/>
      <c r="Q79" s="4"/>
      <c r="R79" s="2"/>
    </row>
    <row r="80" spans="1:18" ht="33.75">
      <c r="A80" s="78" t="s">
        <v>534</v>
      </c>
      <c r="B80" s="90" t="s">
        <v>423</v>
      </c>
      <c r="C80" s="14" t="s">
        <v>128</v>
      </c>
      <c r="D80" s="74">
        <f>L80</f>
        <v>11.440000000000001</v>
      </c>
      <c r="E80" s="73">
        <v>2.2</v>
      </c>
      <c r="F80" s="493">
        <v>2.6</v>
      </c>
      <c r="G80" s="135"/>
      <c r="H80" s="532">
        <f>IF(ISBLANK(F80),E80*G80,IF(ISBLANK(E80),F80*G80,IF(ISBLANK(G80),E80*F80,E80*F80*G80)))</f>
        <v>5.720000000000001</v>
      </c>
      <c r="I80" s="120">
        <v>2</v>
      </c>
      <c r="J80" s="422"/>
      <c r="K80" s="136"/>
      <c r="L80" s="207">
        <f>I80*H80</f>
        <v>11.440000000000001</v>
      </c>
      <c r="M80" s="514"/>
      <c r="N80" s="230"/>
      <c r="O80" s="225"/>
      <c r="P80" s="224"/>
      <c r="Q80" s="4"/>
      <c r="R80" s="2"/>
    </row>
    <row r="81" spans="1:17" s="32" customFormat="1" ht="12.75">
      <c r="A81" s="82"/>
      <c r="B81" s="92"/>
      <c r="C81" s="501"/>
      <c r="D81" s="137"/>
      <c r="E81" s="138"/>
      <c r="F81" s="143"/>
      <c r="G81" s="139"/>
      <c r="H81" s="144"/>
      <c r="I81" s="144"/>
      <c r="J81" s="432"/>
      <c r="K81" s="140"/>
      <c r="L81" s="211"/>
      <c r="M81" s="519"/>
      <c r="N81" s="232"/>
      <c r="O81" s="233"/>
      <c r="P81" s="234"/>
      <c r="Q81" s="66"/>
    </row>
    <row r="82" spans="1:17" s="71" customFormat="1" ht="12.75">
      <c r="A82" s="77" t="s">
        <v>170</v>
      </c>
      <c r="B82" s="93" t="s">
        <v>99</v>
      </c>
      <c r="C82" s="23"/>
      <c r="D82" s="154"/>
      <c r="E82" s="155"/>
      <c r="F82" s="155"/>
      <c r="G82" s="156"/>
      <c r="H82" s="157"/>
      <c r="I82" s="157"/>
      <c r="J82" s="170"/>
      <c r="K82" s="158"/>
      <c r="L82" s="214"/>
      <c r="M82" s="524"/>
      <c r="N82" s="238"/>
      <c r="O82" s="241"/>
      <c r="P82" s="242"/>
      <c r="Q82" s="70"/>
    </row>
    <row r="83" spans="1:18" ht="22.5">
      <c r="A83" s="78" t="s">
        <v>171</v>
      </c>
      <c r="B83" s="90" t="s">
        <v>60</v>
      </c>
      <c r="C83" s="14" t="s">
        <v>138</v>
      </c>
      <c r="D83" s="74">
        <f aca="true" t="shared" si="7" ref="D83:D88">L83</f>
        <v>2</v>
      </c>
      <c r="E83" s="73"/>
      <c r="F83" s="151"/>
      <c r="G83" s="135"/>
      <c r="H83" s="122"/>
      <c r="I83" s="120">
        <v>2</v>
      </c>
      <c r="J83" s="429"/>
      <c r="K83" s="121"/>
      <c r="L83" s="207">
        <f aca="true" t="shared" si="8" ref="L83:L88">I83</f>
        <v>2</v>
      </c>
      <c r="M83" s="514"/>
      <c r="N83" s="230"/>
      <c r="O83" s="225"/>
      <c r="P83" s="243"/>
      <c r="Q83" s="4"/>
      <c r="R83" s="2"/>
    </row>
    <row r="84" spans="1:18" ht="12.75">
      <c r="A84" s="78" t="s">
        <v>172</v>
      </c>
      <c r="B84" s="90" t="s">
        <v>61</v>
      </c>
      <c r="C84" s="14" t="s">
        <v>138</v>
      </c>
      <c r="D84" s="74">
        <f t="shared" si="7"/>
        <v>2</v>
      </c>
      <c r="E84" s="73"/>
      <c r="F84" s="151"/>
      <c r="G84" s="135"/>
      <c r="H84" s="122"/>
      <c r="I84" s="120">
        <v>2</v>
      </c>
      <c r="J84" s="429"/>
      <c r="K84" s="121"/>
      <c r="L84" s="207">
        <f t="shared" si="8"/>
        <v>2</v>
      </c>
      <c r="M84" s="514"/>
      <c r="N84" s="230"/>
      <c r="O84" s="225"/>
      <c r="P84" s="243"/>
      <c r="Q84" s="4"/>
      <c r="R84" s="2"/>
    </row>
    <row r="85" spans="1:18" ht="33.75">
      <c r="A85" s="78" t="s">
        <v>173</v>
      </c>
      <c r="B85" s="90" t="s">
        <v>436</v>
      </c>
      <c r="C85" s="14" t="s">
        <v>46</v>
      </c>
      <c r="D85" s="74">
        <f t="shared" si="7"/>
        <v>1</v>
      </c>
      <c r="E85" s="73"/>
      <c r="F85" s="151"/>
      <c r="G85" s="135"/>
      <c r="H85" s="122"/>
      <c r="I85" s="120">
        <v>1</v>
      </c>
      <c r="J85" s="429"/>
      <c r="K85" s="136"/>
      <c r="L85" s="207">
        <f t="shared" si="8"/>
        <v>1</v>
      </c>
      <c r="M85" s="514"/>
      <c r="N85" s="230"/>
      <c r="O85" s="225"/>
      <c r="P85" s="243"/>
      <c r="Q85" s="4"/>
      <c r="R85" s="2"/>
    </row>
    <row r="86" spans="1:18" ht="12.75">
      <c r="A86" s="78" t="s">
        <v>174</v>
      </c>
      <c r="B86" s="90" t="s">
        <v>98</v>
      </c>
      <c r="C86" s="14" t="s">
        <v>138</v>
      </c>
      <c r="D86" s="74">
        <f t="shared" si="7"/>
        <v>1</v>
      </c>
      <c r="E86" s="73"/>
      <c r="F86" s="151"/>
      <c r="G86" s="135"/>
      <c r="H86" s="122"/>
      <c r="I86" s="120">
        <v>1</v>
      </c>
      <c r="J86" s="429"/>
      <c r="K86" s="136"/>
      <c r="L86" s="207">
        <f t="shared" si="8"/>
        <v>1</v>
      </c>
      <c r="M86" s="514"/>
      <c r="N86" s="230"/>
      <c r="O86" s="225"/>
      <c r="P86" s="243"/>
      <c r="Q86" s="4"/>
      <c r="R86" s="2"/>
    </row>
    <row r="87" spans="1:18" ht="22.5">
      <c r="A87" s="78" t="s">
        <v>209</v>
      </c>
      <c r="B87" s="90" t="s">
        <v>147</v>
      </c>
      <c r="C87" s="14" t="s">
        <v>138</v>
      </c>
      <c r="D87" s="74">
        <f t="shared" si="7"/>
        <v>2</v>
      </c>
      <c r="E87" s="73"/>
      <c r="F87" s="151"/>
      <c r="G87" s="135"/>
      <c r="H87" s="122"/>
      <c r="I87" s="120">
        <v>2</v>
      </c>
      <c r="J87" s="429"/>
      <c r="K87" s="136"/>
      <c r="L87" s="207">
        <f t="shared" si="8"/>
        <v>2</v>
      </c>
      <c r="M87" s="514"/>
      <c r="N87" s="230"/>
      <c r="O87" s="225"/>
      <c r="P87" s="243"/>
      <c r="Q87" s="4"/>
      <c r="R87" s="2"/>
    </row>
    <row r="88" spans="1:18" ht="12.75">
      <c r="A88" s="78" t="s">
        <v>210</v>
      </c>
      <c r="B88" s="90" t="s">
        <v>62</v>
      </c>
      <c r="C88" s="14" t="s">
        <v>138</v>
      </c>
      <c r="D88" s="74">
        <f t="shared" si="7"/>
        <v>2</v>
      </c>
      <c r="E88" s="73"/>
      <c r="F88" s="151"/>
      <c r="G88" s="135"/>
      <c r="H88" s="122"/>
      <c r="I88" s="120">
        <v>2</v>
      </c>
      <c r="J88" s="429"/>
      <c r="K88" s="136"/>
      <c r="L88" s="207">
        <f t="shared" si="8"/>
        <v>2</v>
      </c>
      <c r="M88" s="514"/>
      <c r="N88" s="230"/>
      <c r="O88" s="225"/>
      <c r="P88" s="243"/>
      <c r="Q88" s="4"/>
      <c r="R88" s="2"/>
    </row>
    <row r="89" spans="1:17" s="32" customFormat="1" ht="12.75">
      <c r="A89" s="82"/>
      <c r="B89" s="92"/>
      <c r="C89" s="501"/>
      <c r="D89" s="137"/>
      <c r="E89" s="138"/>
      <c r="F89" s="143"/>
      <c r="G89" s="139"/>
      <c r="H89" s="144"/>
      <c r="I89" s="144"/>
      <c r="J89" s="432"/>
      <c r="K89" s="140"/>
      <c r="L89" s="211"/>
      <c r="M89" s="519"/>
      <c r="N89" s="232"/>
      <c r="O89" s="233"/>
      <c r="P89" s="234"/>
      <c r="Q89" s="66"/>
    </row>
    <row r="90" spans="1:17" s="69" customFormat="1" ht="12.75">
      <c r="A90" s="77" t="s">
        <v>535</v>
      </c>
      <c r="B90" s="93" t="s">
        <v>153</v>
      </c>
      <c r="C90" s="24"/>
      <c r="D90" s="154"/>
      <c r="E90" s="159"/>
      <c r="F90" s="159"/>
      <c r="G90" s="160"/>
      <c r="H90" s="161"/>
      <c r="I90" s="161"/>
      <c r="J90" s="170"/>
      <c r="K90" s="162"/>
      <c r="L90" s="215"/>
      <c r="M90" s="525"/>
      <c r="N90" s="238"/>
      <c r="O90" s="239"/>
      <c r="P90" s="240"/>
      <c r="Q90" s="70"/>
    </row>
    <row r="91" spans="1:18" ht="12.75">
      <c r="A91" s="78" t="s">
        <v>536</v>
      </c>
      <c r="B91" s="90" t="s">
        <v>421</v>
      </c>
      <c r="C91" s="14" t="s">
        <v>128</v>
      </c>
      <c r="D91" s="74">
        <f>L91</f>
        <v>4.620000000000001</v>
      </c>
      <c r="E91" s="73">
        <v>2.2</v>
      </c>
      <c r="F91" s="151">
        <v>2.1</v>
      </c>
      <c r="G91" s="135"/>
      <c r="H91" s="532">
        <f>IF(ISBLANK(F91),E91*G91,IF(ISBLANK(E91),F91*G91,IF(ISBLANK(G91),E91*F91,E91*F91*G91)))</f>
        <v>4.620000000000001</v>
      </c>
      <c r="I91" s="120">
        <v>1</v>
      </c>
      <c r="J91" s="429"/>
      <c r="K91" s="136"/>
      <c r="L91" s="207">
        <f>I91*H91</f>
        <v>4.620000000000001</v>
      </c>
      <c r="M91" s="514"/>
      <c r="N91" s="230"/>
      <c r="O91" s="225"/>
      <c r="P91" s="224"/>
      <c r="Q91" s="4"/>
      <c r="R91" s="2"/>
    </row>
    <row r="92" spans="1:18" ht="12.75">
      <c r="A92" s="78" t="s">
        <v>537</v>
      </c>
      <c r="B92" s="90" t="s">
        <v>148</v>
      </c>
      <c r="C92" s="14" t="s">
        <v>128</v>
      </c>
      <c r="D92" s="74">
        <f>L92</f>
        <v>9.240000000000002</v>
      </c>
      <c r="E92" s="73">
        <v>2.2</v>
      </c>
      <c r="F92" s="151">
        <v>2.1</v>
      </c>
      <c r="G92" s="135"/>
      <c r="H92" s="532">
        <f>IF(ISBLANK(F92),E92*G92,IF(ISBLANK(E92),F92*G92,IF(ISBLANK(G92),E92*F92,E92*F92*G92)))</f>
        <v>4.620000000000001</v>
      </c>
      <c r="I92" s="120">
        <v>2</v>
      </c>
      <c r="J92" s="429"/>
      <c r="K92" s="136"/>
      <c r="L92" s="207">
        <f>I92*H92</f>
        <v>9.240000000000002</v>
      </c>
      <c r="M92" s="514"/>
      <c r="N92" s="230"/>
      <c r="O92" s="225"/>
      <c r="P92" s="224"/>
      <c r="Q92" s="4"/>
      <c r="R92" s="2"/>
    </row>
    <row r="93" spans="1:18" ht="12.75">
      <c r="A93" s="34" t="s">
        <v>538</v>
      </c>
      <c r="B93" s="29" t="s">
        <v>34</v>
      </c>
      <c r="C93" s="14" t="s">
        <v>128</v>
      </c>
      <c r="D93" s="74">
        <f>L93</f>
        <v>53.84</v>
      </c>
      <c r="E93" s="73"/>
      <c r="F93" s="151">
        <v>1.6</v>
      </c>
      <c r="G93" s="135">
        <v>33.65</v>
      </c>
      <c r="H93" s="532">
        <f>IF(ISBLANK(F93),E93*G93,IF(ISBLANK(E93),F93*G93,IF(ISBLANK(G93),E93*F93,E93*F93*G93)))</f>
        <v>53.84</v>
      </c>
      <c r="I93" s="120">
        <v>1</v>
      </c>
      <c r="J93" s="429"/>
      <c r="K93" s="136"/>
      <c r="L93" s="207">
        <f>I93*H93</f>
        <v>53.84</v>
      </c>
      <c r="M93" s="514"/>
      <c r="N93" s="230"/>
      <c r="O93" s="225"/>
      <c r="P93" s="224"/>
      <c r="Q93" s="4"/>
      <c r="R93" s="2"/>
    </row>
    <row r="94" spans="1:18" ht="22.5">
      <c r="A94" s="34" t="s">
        <v>539</v>
      </c>
      <c r="B94" s="29" t="s">
        <v>146</v>
      </c>
      <c r="C94" s="14" t="s">
        <v>128</v>
      </c>
      <c r="D94" s="74">
        <f>L94</f>
        <v>53.84</v>
      </c>
      <c r="E94" s="73"/>
      <c r="F94" s="151">
        <v>1.6</v>
      </c>
      <c r="G94" s="135">
        <v>33.65</v>
      </c>
      <c r="H94" s="532">
        <f>IF(ISBLANK(F94),E94*G94,IF(ISBLANK(E94),F94*G94,IF(ISBLANK(G94),E94*F94,E94*F94*G94)))</f>
        <v>53.84</v>
      </c>
      <c r="I94" s="120">
        <v>1</v>
      </c>
      <c r="J94" s="429"/>
      <c r="K94" s="136"/>
      <c r="L94" s="207">
        <f>I94*H94</f>
        <v>53.84</v>
      </c>
      <c r="M94" s="514"/>
      <c r="N94" s="230"/>
      <c r="O94" s="225"/>
      <c r="P94" s="224"/>
      <c r="Q94" s="4"/>
      <c r="R94" s="2"/>
    </row>
    <row r="95" spans="1:18" ht="22.5">
      <c r="A95" s="34" t="s">
        <v>540</v>
      </c>
      <c r="B95" s="29" t="s">
        <v>465</v>
      </c>
      <c r="C95" s="75" t="s">
        <v>128</v>
      </c>
      <c r="D95" s="533">
        <f>L95</f>
        <v>1.863</v>
      </c>
      <c r="E95" s="562">
        <v>1</v>
      </c>
      <c r="F95" s="563">
        <v>0.06</v>
      </c>
      <c r="G95" s="183">
        <v>31.05</v>
      </c>
      <c r="H95" s="532">
        <f>IF(ISBLANK(F95),E95*G95,IF(ISBLANK(E95),F95*G95,IF(ISBLANK(G95),E95*F95,E95*F95*G95)))</f>
        <v>1.863</v>
      </c>
      <c r="I95" s="185">
        <v>1</v>
      </c>
      <c r="J95" s="429"/>
      <c r="K95" s="556"/>
      <c r="L95" s="219">
        <f>I95*H95</f>
        <v>1.863</v>
      </c>
      <c r="M95" s="514"/>
      <c r="N95" s="230"/>
      <c r="O95" s="225"/>
      <c r="P95" s="224"/>
      <c r="Q95" s="4"/>
      <c r="R95" s="2"/>
    </row>
    <row r="96" spans="1:17" s="32" customFormat="1" ht="12.75">
      <c r="A96" s="82"/>
      <c r="B96" s="94"/>
      <c r="C96" s="21"/>
      <c r="D96" s="163"/>
      <c r="E96" s="164"/>
      <c r="F96" s="164"/>
      <c r="G96" s="165"/>
      <c r="H96" s="163"/>
      <c r="I96" s="163"/>
      <c r="J96" s="432"/>
      <c r="K96" s="166"/>
      <c r="L96" s="216"/>
      <c r="M96" s="527"/>
      <c r="N96" s="232"/>
      <c r="O96" s="233"/>
      <c r="P96" s="234"/>
      <c r="Q96" s="66"/>
    </row>
    <row r="97" spans="1:17" s="68" customFormat="1" ht="12.75">
      <c r="A97" s="76">
        <v>3</v>
      </c>
      <c r="B97" s="88" t="s">
        <v>114</v>
      </c>
      <c r="C97" s="15"/>
      <c r="D97" s="107"/>
      <c r="E97" s="108"/>
      <c r="F97" s="108"/>
      <c r="G97" s="131"/>
      <c r="H97" s="107"/>
      <c r="I97" s="107"/>
      <c r="J97" s="431"/>
      <c r="K97" s="132"/>
      <c r="L97" s="209"/>
      <c r="M97" s="516"/>
      <c r="N97" s="235"/>
      <c r="O97" s="236"/>
      <c r="P97" s="237"/>
      <c r="Q97" s="67"/>
    </row>
    <row r="98" spans="1:17" s="69" customFormat="1" ht="12.75">
      <c r="A98" s="77" t="s">
        <v>76</v>
      </c>
      <c r="B98" s="89" t="s">
        <v>101</v>
      </c>
      <c r="C98" s="20"/>
      <c r="D98" s="113"/>
      <c r="E98" s="114"/>
      <c r="F98" s="114"/>
      <c r="G98" s="133"/>
      <c r="H98" s="113"/>
      <c r="I98" s="113"/>
      <c r="J98" s="170"/>
      <c r="K98" s="134"/>
      <c r="L98" s="210"/>
      <c r="M98" s="517"/>
      <c r="N98" s="238"/>
      <c r="O98" s="239"/>
      <c r="P98" s="240"/>
      <c r="Q98" s="70"/>
    </row>
    <row r="99" spans="1:18" ht="22.5">
      <c r="A99" s="78" t="s">
        <v>175</v>
      </c>
      <c r="B99" s="90" t="s">
        <v>37</v>
      </c>
      <c r="C99" s="14" t="s">
        <v>142</v>
      </c>
      <c r="D99" s="74">
        <f>L99</f>
        <v>19.5</v>
      </c>
      <c r="E99" s="73">
        <v>1</v>
      </c>
      <c r="F99" s="151">
        <v>1.5</v>
      </c>
      <c r="G99" s="135">
        <v>1</v>
      </c>
      <c r="H99" s="532">
        <f>IF(ISBLANK(F99),E99*G99,IF(ISBLANK(E99),F99*G99,IF(ISBLANK(G99),E99*F99,E99*F99*G99)))</f>
        <v>1.5</v>
      </c>
      <c r="I99" s="120">
        <v>13</v>
      </c>
      <c r="J99" s="429"/>
      <c r="K99" s="121"/>
      <c r="L99" s="207">
        <f>I99*H99</f>
        <v>19.5</v>
      </c>
      <c r="M99" s="514" t="s">
        <v>425</v>
      </c>
      <c r="N99" s="230"/>
      <c r="O99" s="225"/>
      <c r="P99" s="224"/>
      <c r="Q99" s="4"/>
      <c r="R99" s="2"/>
    </row>
    <row r="100" spans="1:18" ht="12.75">
      <c r="A100" s="78" t="s">
        <v>176</v>
      </c>
      <c r="B100" s="90" t="s">
        <v>21</v>
      </c>
      <c r="C100" s="14" t="s">
        <v>142</v>
      </c>
      <c r="D100" s="74">
        <f>L100</f>
        <v>16.03</v>
      </c>
      <c r="E100" s="73"/>
      <c r="F100" s="151"/>
      <c r="G100" s="135"/>
      <c r="H100" s="122">
        <v>16.03</v>
      </c>
      <c r="I100" s="120">
        <v>1</v>
      </c>
      <c r="J100" s="429"/>
      <c r="K100" s="121"/>
      <c r="L100" s="213">
        <f>I100*H100</f>
        <v>16.03</v>
      </c>
      <c r="M100" s="518" t="s">
        <v>418</v>
      </c>
      <c r="N100" s="230"/>
      <c r="O100" s="225"/>
      <c r="P100" s="224"/>
      <c r="Q100" s="4"/>
      <c r="R100" s="2"/>
    </row>
    <row r="101" spans="1:17" s="32" customFormat="1" ht="12.75">
      <c r="A101" s="80"/>
      <c r="B101" s="92"/>
      <c r="C101" s="501"/>
      <c r="D101" s="137"/>
      <c r="E101" s="138"/>
      <c r="F101" s="143"/>
      <c r="G101" s="139"/>
      <c r="H101" s="144"/>
      <c r="I101" s="144"/>
      <c r="J101" s="432"/>
      <c r="K101" s="140"/>
      <c r="L101" s="211"/>
      <c r="M101" s="519"/>
      <c r="N101" s="232"/>
      <c r="O101" s="233"/>
      <c r="P101" s="234"/>
      <c r="Q101" s="66"/>
    </row>
    <row r="102" spans="1:17" s="69" customFormat="1" ht="12.75">
      <c r="A102" s="77" t="s">
        <v>91</v>
      </c>
      <c r="B102" s="93" t="s">
        <v>95</v>
      </c>
      <c r="C102" s="25"/>
      <c r="D102" s="113"/>
      <c r="E102" s="167"/>
      <c r="F102" s="167"/>
      <c r="G102" s="168"/>
      <c r="H102" s="169"/>
      <c r="I102" s="169"/>
      <c r="J102" s="170"/>
      <c r="K102" s="171"/>
      <c r="L102" s="217"/>
      <c r="M102" s="528"/>
      <c r="N102" s="238"/>
      <c r="O102" s="239"/>
      <c r="P102" s="240"/>
      <c r="Q102" s="70"/>
    </row>
    <row r="103" spans="1:18" ht="33.75">
      <c r="A103" s="78" t="s">
        <v>177</v>
      </c>
      <c r="B103" s="16" t="s">
        <v>489</v>
      </c>
      <c r="C103" s="14" t="s">
        <v>128</v>
      </c>
      <c r="D103" s="74">
        <f>L103</f>
        <v>96.7</v>
      </c>
      <c r="E103" s="73"/>
      <c r="F103" s="151"/>
      <c r="G103" s="135"/>
      <c r="H103" s="122">
        <v>96.7</v>
      </c>
      <c r="I103" s="120">
        <v>1</v>
      </c>
      <c r="J103" s="429"/>
      <c r="K103" s="121"/>
      <c r="L103" s="207">
        <f>I103*H103</f>
        <v>96.7</v>
      </c>
      <c r="M103" s="1050" t="s">
        <v>485</v>
      </c>
      <c r="N103" s="230"/>
      <c r="O103" s="225"/>
      <c r="P103" s="224"/>
      <c r="Q103" s="4">
        <v>79.59</v>
      </c>
      <c r="R103" s="2"/>
    </row>
    <row r="104" spans="1:18" ht="22.5">
      <c r="A104" s="78" t="s">
        <v>178</v>
      </c>
      <c r="B104" s="16" t="s">
        <v>490</v>
      </c>
      <c r="C104" s="14" t="s">
        <v>100</v>
      </c>
      <c r="D104" s="74">
        <f>L104</f>
        <v>555.36</v>
      </c>
      <c r="E104" s="73"/>
      <c r="F104" s="151"/>
      <c r="G104" s="135"/>
      <c r="H104" s="122"/>
      <c r="I104" s="120">
        <v>1</v>
      </c>
      <c r="J104" s="422"/>
      <c r="K104" s="121">
        <v>555.36</v>
      </c>
      <c r="L104" s="213">
        <f>I104*K104</f>
        <v>555.36</v>
      </c>
      <c r="M104" s="1050"/>
      <c r="N104" s="230"/>
      <c r="O104" s="225"/>
      <c r="P104" s="224"/>
      <c r="Q104" s="4"/>
      <c r="R104" s="2"/>
    </row>
    <row r="105" spans="1:18" ht="12.75">
      <c r="A105" s="78" t="s">
        <v>179</v>
      </c>
      <c r="B105" s="16" t="s">
        <v>495</v>
      </c>
      <c r="C105" s="14" t="s">
        <v>142</v>
      </c>
      <c r="D105" s="74">
        <f>L105</f>
        <v>6.69</v>
      </c>
      <c r="E105" s="73"/>
      <c r="F105" s="151"/>
      <c r="G105" s="135"/>
      <c r="H105" s="532">
        <v>6.69</v>
      </c>
      <c r="I105" s="120">
        <v>1</v>
      </c>
      <c r="J105" s="429"/>
      <c r="K105" s="121"/>
      <c r="L105" s="207">
        <f>I105*H105</f>
        <v>6.69</v>
      </c>
      <c r="M105" s="1050"/>
      <c r="N105" s="230"/>
      <c r="O105" s="225"/>
      <c r="P105" s="224"/>
      <c r="Q105" s="4"/>
      <c r="R105" s="2"/>
    </row>
    <row r="106" spans="1:18" ht="22.5">
      <c r="A106" s="78" t="s">
        <v>180</v>
      </c>
      <c r="B106" s="16" t="s">
        <v>467</v>
      </c>
      <c r="C106" s="14" t="s">
        <v>142</v>
      </c>
      <c r="D106" s="74">
        <f>L106</f>
        <v>6.69</v>
      </c>
      <c r="E106" s="73"/>
      <c r="F106" s="151"/>
      <c r="G106" s="135"/>
      <c r="H106" s="532">
        <v>6.69</v>
      </c>
      <c r="I106" s="120">
        <v>1</v>
      </c>
      <c r="J106" s="429"/>
      <c r="K106" s="121"/>
      <c r="L106" s="207">
        <f>I106*H106</f>
        <v>6.69</v>
      </c>
      <c r="M106" s="1050"/>
      <c r="N106" s="230"/>
      <c r="O106" s="225"/>
      <c r="P106" s="224"/>
      <c r="Q106" s="4"/>
      <c r="R106" s="2"/>
    </row>
    <row r="107" spans="1:17" s="32" customFormat="1" ht="12.75">
      <c r="A107" s="80"/>
      <c r="B107" s="92"/>
      <c r="C107" s="501"/>
      <c r="D107" s="137"/>
      <c r="E107" s="138"/>
      <c r="F107" s="143"/>
      <c r="G107" s="139"/>
      <c r="H107" s="144"/>
      <c r="I107" s="144"/>
      <c r="J107" s="432"/>
      <c r="K107" s="140"/>
      <c r="L107" s="211"/>
      <c r="M107" s="519"/>
      <c r="N107" s="232"/>
      <c r="O107" s="233"/>
      <c r="P107" s="234"/>
      <c r="Q107" s="66"/>
    </row>
    <row r="108" spans="1:17" s="69" customFormat="1" ht="12.75">
      <c r="A108" s="77" t="s">
        <v>103</v>
      </c>
      <c r="B108" s="93" t="s">
        <v>102</v>
      </c>
      <c r="C108" s="25"/>
      <c r="D108" s="113"/>
      <c r="E108" s="167"/>
      <c r="F108" s="167"/>
      <c r="G108" s="172"/>
      <c r="H108" s="169"/>
      <c r="I108" s="169"/>
      <c r="J108" s="170"/>
      <c r="K108" s="171"/>
      <c r="L108" s="217"/>
      <c r="M108" s="528"/>
      <c r="N108" s="238"/>
      <c r="O108" s="239"/>
      <c r="P108" s="240"/>
      <c r="Q108" s="70"/>
    </row>
    <row r="109" spans="1:18" ht="33.75">
      <c r="A109" s="78" t="s">
        <v>181</v>
      </c>
      <c r="B109" s="16" t="s">
        <v>489</v>
      </c>
      <c r="C109" s="14" t="s">
        <v>128</v>
      </c>
      <c r="D109" s="74">
        <f aca="true" t="shared" si="9" ref="D109:D115">L109</f>
        <v>264.48</v>
      </c>
      <c r="E109" s="73"/>
      <c r="F109" s="151"/>
      <c r="G109" s="135"/>
      <c r="H109" s="569">
        <v>264.48</v>
      </c>
      <c r="I109" s="120">
        <v>1</v>
      </c>
      <c r="J109" s="429"/>
      <c r="K109" s="121"/>
      <c r="L109" s="207">
        <f>I109*H109</f>
        <v>264.48</v>
      </c>
      <c r="M109" s="1050" t="s">
        <v>496</v>
      </c>
      <c r="N109" s="230"/>
      <c r="O109" s="225"/>
      <c r="P109" s="224"/>
      <c r="Q109" s="4"/>
      <c r="R109" s="2"/>
    </row>
    <row r="110" spans="1:18" ht="22.5">
      <c r="A110" s="78" t="s">
        <v>182</v>
      </c>
      <c r="B110" s="16" t="s">
        <v>490</v>
      </c>
      <c r="C110" s="14" t="s">
        <v>100</v>
      </c>
      <c r="D110" s="74">
        <f t="shared" si="9"/>
        <v>484.92</v>
      </c>
      <c r="E110" s="73"/>
      <c r="F110" s="151"/>
      <c r="G110" s="135"/>
      <c r="H110" s="569"/>
      <c r="I110" s="120">
        <v>1</v>
      </c>
      <c r="J110" s="429"/>
      <c r="K110" s="121">
        <v>484.92</v>
      </c>
      <c r="L110" s="213">
        <f>I110*K110</f>
        <v>484.92</v>
      </c>
      <c r="M110" s="1050"/>
      <c r="N110" s="230"/>
      <c r="O110" s="225"/>
      <c r="P110" s="224"/>
      <c r="Q110" s="4"/>
      <c r="R110" s="2"/>
    </row>
    <row r="111" spans="1:18" ht="33.75">
      <c r="A111" s="78" t="s">
        <v>183</v>
      </c>
      <c r="B111" s="16" t="s">
        <v>578</v>
      </c>
      <c r="C111" s="14" t="s">
        <v>100</v>
      </c>
      <c r="D111" s="74">
        <f t="shared" si="9"/>
        <v>312.27</v>
      </c>
      <c r="E111" s="73"/>
      <c r="F111" s="151"/>
      <c r="G111" s="135"/>
      <c r="H111" s="569"/>
      <c r="I111" s="120">
        <v>1</v>
      </c>
      <c r="J111" s="429"/>
      <c r="K111" s="121">
        <v>312.27</v>
      </c>
      <c r="L111" s="213">
        <f>I111*K111</f>
        <v>312.27</v>
      </c>
      <c r="M111" s="1050"/>
      <c r="N111" s="230"/>
      <c r="O111" s="225"/>
      <c r="P111" s="224"/>
      <c r="Q111" s="4"/>
      <c r="R111" s="2"/>
    </row>
    <row r="112" spans="1:18" ht="33.75">
      <c r="A112" s="78" t="s">
        <v>184</v>
      </c>
      <c r="B112" s="16" t="s">
        <v>579</v>
      </c>
      <c r="C112" s="14" t="s">
        <v>100</v>
      </c>
      <c r="D112" s="74">
        <f t="shared" si="9"/>
        <v>90.5</v>
      </c>
      <c r="E112" s="73"/>
      <c r="F112" s="151"/>
      <c r="G112" s="135"/>
      <c r="H112" s="569"/>
      <c r="I112" s="120">
        <v>1</v>
      </c>
      <c r="J112" s="429"/>
      <c r="K112" s="121">
        <v>90.5</v>
      </c>
      <c r="L112" s="213">
        <f>I112*K112</f>
        <v>90.5</v>
      </c>
      <c r="M112" s="1050"/>
      <c r="N112" s="230"/>
      <c r="O112" s="225"/>
      <c r="P112" s="224"/>
      <c r="Q112" s="4"/>
      <c r="R112" s="2"/>
    </row>
    <row r="113" spans="1:18" ht="22.5">
      <c r="A113" s="78" t="s">
        <v>575</v>
      </c>
      <c r="B113" s="16" t="s">
        <v>577</v>
      </c>
      <c r="C113" s="14" t="s">
        <v>100</v>
      </c>
      <c r="D113" s="74">
        <f t="shared" si="9"/>
        <v>200.67</v>
      </c>
      <c r="E113" s="73"/>
      <c r="F113" s="151"/>
      <c r="G113" s="135"/>
      <c r="H113" s="569"/>
      <c r="I113" s="120">
        <v>1</v>
      </c>
      <c r="J113" s="429"/>
      <c r="K113" s="494">
        <v>200.67</v>
      </c>
      <c r="L113" s="213">
        <f>I113*K113</f>
        <v>200.67</v>
      </c>
      <c r="M113" s="1050"/>
      <c r="N113" s="230"/>
      <c r="O113" s="225"/>
      <c r="P113" s="224"/>
      <c r="Q113" s="4"/>
      <c r="R113" s="2"/>
    </row>
    <row r="114" spans="1:18" ht="12.75">
      <c r="A114" s="78" t="s">
        <v>576</v>
      </c>
      <c r="B114" s="16" t="s">
        <v>581</v>
      </c>
      <c r="C114" s="14" t="s">
        <v>142</v>
      </c>
      <c r="D114" s="74">
        <f t="shared" si="9"/>
        <v>16.95</v>
      </c>
      <c r="E114" s="73"/>
      <c r="F114" s="151"/>
      <c r="G114" s="135"/>
      <c r="H114" s="569">
        <v>16.95</v>
      </c>
      <c r="I114" s="120">
        <v>1</v>
      </c>
      <c r="J114" s="429"/>
      <c r="K114" s="121"/>
      <c r="L114" s="207">
        <f>I114*H114</f>
        <v>16.95</v>
      </c>
      <c r="M114" s="1050"/>
      <c r="N114" s="230"/>
      <c r="O114" s="225"/>
      <c r="P114" s="224"/>
      <c r="Q114" s="4"/>
      <c r="R114" s="2"/>
    </row>
    <row r="115" spans="1:18" ht="22.5">
      <c r="A115" s="78" t="s">
        <v>580</v>
      </c>
      <c r="B115" s="16" t="s">
        <v>467</v>
      </c>
      <c r="C115" s="14" t="s">
        <v>142</v>
      </c>
      <c r="D115" s="74">
        <f t="shared" si="9"/>
        <v>16.95</v>
      </c>
      <c r="E115" s="73"/>
      <c r="F115" s="151"/>
      <c r="G115" s="135"/>
      <c r="H115" s="569">
        <v>16.95</v>
      </c>
      <c r="I115" s="120">
        <v>1</v>
      </c>
      <c r="J115" s="429"/>
      <c r="K115" s="121"/>
      <c r="L115" s="207">
        <f>I115*H115</f>
        <v>16.95</v>
      </c>
      <c r="M115" s="1050"/>
      <c r="N115" s="230"/>
      <c r="O115" s="225"/>
      <c r="P115" s="224"/>
      <c r="Q115" s="4"/>
      <c r="R115" s="2"/>
    </row>
    <row r="116" spans="1:17" s="32" customFormat="1" ht="12.75">
      <c r="A116" s="80"/>
      <c r="B116" s="92"/>
      <c r="C116" s="501"/>
      <c r="D116" s="137"/>
      <c r="E116" s="138"/>
      <c r="F116" s="143"/>
      <c r="G116" s="139"/>
      <c r="H116" s="144"/>
      <c r="I116" s="144"/>
      <c r="J116" s="432"/>
      <c r="K116" s="140"/>
      <c r="L116" s="211"/>
      <c r="M116" s="519"/>
      <c r="N116" s="232"/>
      <c r="O116" s="233"/>
      <c r="P116" s="234"/>
      <c r="Q116" s="66"/>
    </row>
    <row r="117" spans="1:17" s="69" customFormat="1" ht="12.75">
      <c r="A117" s="77" t="s">
        <v>104</v>
      </c>
      <c r="B117" s="93" t="s">
        <v>110</v>
      </c>
      <c r="C117" s="25"/>
      <c r="D117" s="113"/>
      <c r="E117" s="167"/>
      <c r="F117" s="167"/>
      <c r="G117" s="168"/>
      <c r="H117" s="169"/>
      <c r="I117" s="169"/>
      <c r="J117" s="170"/>
      <c r="K117" s="171"/>
      <c r="L117" s="217"/>
      <c r="M117" s="528"/>
      <c r="N117" s="238"/>
      <c r="O117" s="239"/>
      <c r="P117" s="240"/>
      <c r="Q117" s="70"/>
    </row>
    <row r="118" spans="1:18" ht="12.75">
      <c r="A118" s="1026" t="s">
        <v>185</v>
      </c>
      <c r="B118" s="1029" t="s">
        <v>149</v>
      </c>
      <c r="C118" s="1027" t="s">
        <v>128</v>
      </c>
      <c r="D118" s="1028">
        <f>SUM(L118,L119,L120,L121)</f>
        <v>218.10000000000002</v>
      </c>
      <c r="E118" s="73"/>
      <c r="F118" s="151">
        <v>2.5</v>
      </c>
      <c r="G118" s="135">
        <v>18.9</v>
      </c>
      <c r="H118" s="532">
        <f aca="true" t="shared" si="10" ref="H118:H123">IF(ISBLANK(F118),E118*G118,IF(ISBLANK(E118),F118*G118,IF(ISBLANK(G118),E118*F118,E118*F118*G118)))</f>
        <v>47.25</v>
      </c>
      <c r="I118" s="120">
        <v>2</v>
      </c>
      <c r="J118" s="429"/>
      <c r="K118" s="121"/>
      <c r="L118" s="207">
        <f aca="true" t="shared" si="11" ref="L118:L123">I118*H118</f>
        <v>94.5</v>
      </c>
      <c r="M118" s="1050" t="s">
        <v>426</v>
      </c>
      <c r="N118" s="230"/>
      <c r="O118" s="225"/>
      <c r="P118" s="224"/>
      <c r="Q118" s="4"/>
      <c r="R118" s="2"/>
    </row>
    <row r="119" spans="1:18" ht="12.75">
      <c r="A119" s="1026"/>
      <c r="B119" s="1029"/>
      <c r="C119" s="1027"/>
      <c r="D119" s="1028"/>
      <c r="E119" s="73"/>
      <c r="F119" s="151">
        <v>2.5</v>
      </c>
      <c r="G119" s="135">
        <v>3.9</v>
      </c>
      <c r="H119" s="532">
        <f t="shared" si="10"/>
        <v>9.75</v>
      </c>
      <c r="I119" s="120">
        <v>8</v>
      </c>
      <c r="J119" s="429"/>
      <c r="K119" s="121"/>
      <c r="L119" s="207">
        <f t="shared" si="11"/>
        <v>78</v>
      </c>
      <c r="M119" s="1070"/>
      <c r="N119" s="230"/>
      <c r="O119" s="225"/>
      <c r="P119" s="224"/>
      <c r="Q119" s="4"/>
      <c r="R119" s="2"/>
    </row>
    <row r="120" spans="1:18" ht="12.75">
      <c r="A120" s="1026"/>
      <c r="B120" s="1029"/>
      <c r="C120" s="1027"/>
      <c r="D120" s="1028">
        <f>SUM(L120,L121)</f>
        <v>45.599999999999994</v>
      </c>
      <c r="E120" s="73"/>
      <c r="F120" s="151">
        <v>1</v>
      </c>
      <c r="G120" s="135">
        <v>18.9</v>
      </c>
      <c r="H120" s="532">
        <f t="shared" si="10"/>
        <v>18.9</v>
      </c>
      <c r="I120" s="120">
        <v>2</v>
      </c>
      <c r="J120" s="429"/>
      <c r="K120" s="121"/>
      <c r="L120" s="207">
        <f t="shared" si="11"/>
        <v>37.8</v>
      </c>
      <c r="M120" s="1070"/>
      <c r="N120" s="230"/>
      <c r="O120" s="225"/>
      <c r="P120" s="224"/>
      <c r="Q120" s="4"/>
      <c r="R120" s="2"/>
    </row>
    <row r="121" spans="1:18" ht="12.75">
      <c r="A121" s="1026"/>
      <c r="B121" s="1029"/>
      <c r="C121" s="1027"/>
      <c r="D121" s="1028"/>
      <c r="E121" s="73"/>
      <c r="F121" s="151">
        <v>1</v>
      </c>
      <c r="G121" s="135">
        <v>3.9</v>
      </c>
      <c r="H121" s="532">
        <f t="shared" si="10"/>
        <v>3.9</v>
      </c>
      <c r="I121" s="120">
        <v>2</v>
      </c>
      <c r="J121" s="429"/>
      <c r="K121" s="121"/>
      <c r="L121" s="207">
        <f t="shared" si="11"/>
        <v>7.8</v>
      </c>
      <c r="M121" s="1070"/>
      <c r="N121" s="230"/>
      <c r="O121" s="225"/>
      <c r="P121" s="224"/>
      <c r="Q121" s="4"/>
      <c r="R121" s="2"/>
    </row>
    <row r="122" spans="1:18" ht="16.5" customHeight="1">
      <c r="A122" s="1026" t="s">
        <v>186</v>
      </c>
      <c r="B122" s="1029" t="s">
        <v>150</v>
      </c>
      <c r="C122" s="1027" t="s">
        <v>128</v>
      </c>
      <c r="D122" s="1028">
        <f>SUM(L122,L123)</f>
        <v>28.8</v>
      </c>
      <c r="E122" s="73">
        <v>1.15</v>
      </c>
      <c r="F122" s="151">
        <v>1.8</v>
      </c>
      <c r="G122" s="135"/>
      <c r="H122" s="532">
        <f t="shared" si="10"/>
        <v>2.07</v>
      </c>
      <c r="I122" s="120">
        <v>10</v>
      </c>
      <c r="J122" s="429"/>
      <c r="K122" s="121"/>
      <c r="L122" s="207">
        <f t="shared" si="11"/>
        <v>20.7</v>
      </c>
      <c r="M122" s="1025" t="s">
        <v>462</v>
      </c>
      <c r="N122" s="230"/>
      <c r="O122" s="225"/>
      <c r="P122" s="224"/>
      <c r="Q122" s="4"/>
      <c r="R122" s="2"/>
    </row>
    <row r="123" spans="1:18" ht="16.5" customHeight="1">
      <c r="A123" s="1026"/>
      <c r="B123" s="1029"/>
      <c r="C123" s="1027"/>
      <c r="D123" s="1028"/>
      <c r="E123" s="73">
        <v>0.45</v>
      </c>
      <c r="F123" s="151">
        <v>1.8</v>
      </c>
      <c r="G123" s="135"/>
      <c r="H123" s="532">
        <f t="shared" si="10"/>
        <v>0.81</v>
      </c>
      <c r="I123" s="120">
        <v>10</v>
      </c>
      <c r="J123" s="429"/>
      <c r="K123" s="121"/>
      <c r="L123" s="207">
        <f t="shared" si="11"/>
        <v>8.100000000000001</v>
      </c>
      <c r="M123" s="1025"/>
      <c r="N123" s="230"/>
      <c r="O123" s="225"/>
      <c r="P123" s="224"/>
      <c r="Q123" s="4"/>
      <c r="R123" s="2"/>
    </row>
    <row r="124" spans="1:17" s="32" customFormat="1" ht="12.75">
      <c r="A124" s="80"/>
      <c r="B124" s="92"/>
      <c r="C124" s="501"/>
      <c r="D124" s="137"/>
      <c r="E124" s="138"/>
      <c r="F124" s="143"/>
      <c r="G124" s="139"/>
      <c r="H124" s="144"/>
      <c r="I124" s="144"/>
      <c r="J124" s="432"/>
      <c r="K124" s="140"/>
      <c r="L124" s="211"/>
      <c r="M124" s="519"/>
      <c r="N124" s="232"/>
      <c r="O124" s="233"/>
      <c r="P124" s="234"/>
      <c r="Q124" s="66"/>
    </row>
    <row r="125" spans="1:17" s="69" customFormat="1" ht="12.75">
      <c r="A125" s="77" t="s">
        <v>107</v>
      </c>
      <c r="B125" s="93" t="s">
        <v>105</v>
      </c>
      <c r="C125" s="25"/>
      <c r="D125" s="113"/>
      <c r="E125" s="167"/>
      <c r="F125" s="167"/>
      <c r="G125" s="168"/>
      <c r="H125" s="169"/>
      <c r="I125" s="169"/>
      <c r="J125" s="170"/>
      <c r="K125" s="171"/>
      <c r="L125" s="217"/>
      <c r="M125" s="528"/>
      <c r="N125" s="238"/>
      <c r="O125" s="239"/>
      <c r="P125" s="240"/>
      <c r="Q125" s="70"/>
    </row>
    <row r="126" spans="1:18" ht="12.75">
      <c r="A126" s="1026" t="s">
        <v>187</v>
      </c>
      <c r="B126" s="1029" t="s">
        <v>26</v>
      </c>
      <c r="C126" s="1027" t="s">
        <v>128</v>
      </c>
      <c r="D126" s="1028">
        <f>SUM(L126,L127,L128,L129,L130,L131,L132,L133,L134,L135,L136,L137)</f>
        <v>555.75</v>
      </c>
      <c r="E126" s="73"/>
      <c r="F126" s="151">
        <v>2.8</v>
      </c>
      <c r="G126" s="135">
        <v>18.9</v>
      </c>
      <c r="H126" s="532">
        <f aca="true" t="shared" si="12" ref="H126:H137">IF(ISBLANK(F126),E126*G126,IF(ISBLANK(E126),F126*G126,IF(ISBLANK(G126),E126*F126,E126*F126*G126)))</f>
        <v>52.919999999999995</v>
      </c>
      <c r="I126" s="120">
        <v>4</v>
      </c>
      <c r="J126" s="429"/>
      <c r="K126" s="121"/>
      <c r="L126" s="207">
        <f aca="true" t="shared" si="13" ref="L126:L139">I126*H126</f>
        <v>211.67999999999998</v>
      </c>
      <c r="M126" s="1025" t="s">
        <v>427</v>
      </c>
      <c r="N126" s="230"/>
      <c r="O126" s="225"/>
      <c r="P126" s="224"/>
      <c r="Q126" s="4"/>
      <c r="R126" s="2"/>
    </row>
    <row r="127" spans="1:18" ht="12.75">
      <c r="A127" s="1026"/>
      <c r="B127" s="1029"/>
      <c r="C127" s="1027"/>
      <c r="D127" s="1028"/>
      <c r="E127" s="73"/>
      <c r="F127" s="151">
        <v>2.8</v>
      </c>
      <c r="G127" s="135">
        <v>3.9</v>
      </c>
      <c r="H127" s="532">
        <f t="shared" si="12"/>
        <v>10.92</v>
      </c>
      <c r="I127" s="120">
        <v>16</v>
      </c>
      <c r="J127" s="429"/>
      <c r="K127" s="121"/>
      <c r="L127" s="207">
        <f t="shared" si="13"/>
        <v>174.72</v>
      </c>
      <c r="M127" s="1025"/>
      <c r="N127" s="230"/>
      <c r="O127" s="225"/>
      <c r="P127" s="224"/>
      <c r="Q127" s="4"/>
      <c r="R127" s="2"/>
    </row>
    <row r="128" spans="1:18" ht="12.75">
      <c r="A128" s="1026"/>
      <c r="B128" s="1029"/>
      <c r="C128" s="1027"/>
      <c r="D128" s="1028">
        <f>SUM(L128,L129)</f>
        <v>100.32</v>
      </c>
      <c r="E128" s="73"/>
      <c r="F128" s="151">
        <v>1.1</v>
      </c>
      <c r="G128" s="135">
        <v>18.9</v>
      </c>
      <c r="H128" s="532">
        <f t="shared" si="12"/>
        <v>20.79</v>
      </c>
      <c r="I128" s="120">
        <v>4</v>
      </c>
      <c r="J128" s="429"/>
      <c r="K128" s="121"/>
      <c r="L128" s="207">
        <f t="shared" si="13"/>
        <v>83.16</v>
      </c>
      <c r="M128" s="1025"/>
      <c r="N128" s="230"/>
      <c r="O128" s="225"/>
      <c r="P128" s="224"/>
      <c r="Q128" s="4"/>
      <c r="R128" s="2"/>
    </row>
    <row r="129" spans="1:18" ht="12.75">
      <c r="A129" s="1026"/>
      <c r="B129" s="1029"/>
      <c r="C129" s="1027"/>
      <c r="D129" s="1028"/>
      <c r="E129" s="73"/>
      <c r="F129" s="151">
        <v>1.1</v>
      </c>
      <c r="G129" s="135">
        <v>3.9</v>
      </c>
      <c r="H129" s="532">
        <f t="shared" si="12"/>
        <v>4.29</v>
      </c>
      <c r="I129" s="120">
        <v>4</v>
      </c>
      <c r="J129" s="429"/>
      <c r="K129" s="121"/>
      <c r="L129" s="207">
        <f t="shared" si="13"/>
        <v>17.16</v>
      </c>
      <c r="M129" s="1025"/>
      <c r="N129" s="230"/>
      <c r="O129" s="225"/>
      <c r="P129" s="224"/>
      <c r="Q129" s="4"/>
      <c r="R129" s="2"/>
    </row>
    <row r="130" spans="1:18" ht="12.75">
      <c r="A130" s="1026"/>
      <c r="B130" s="1029"/>
      <c r="C130" s="1027"/>
      <c r="D130" s="1028"/>
      <c r="E130" s="73">
        <v>2.7</v>
      </c>
      <c r="F130" s="151"/>
      <c r="G130" s="135">
        <v>3.9</v>
      </c>
      <c r="H130" s="532">
        <f t="shared" si="12"/>
        <v>10.530000000000001</v>
      </c>
      <c r="I130" s="120">
        <v>1</v>
      </c>
      <c r="J130" s="429"/>
      <c r="K130" s="121"/>
      <c r="L130" s="207">
        <f t="shared" si="13"/>
        <v>10.530000000000001</v>
      </c>
      <c r="M130" s="1025" t="s">
        <v>428</v>
      </c>
      <c r="N130" s="230"/>
      <c r="O130" s="225"/>
      <c r="P130" s="224"/>
      <c r="Q130" s="4"/>
      <c r="R130" s="2"/>
    </row>
    <row r="131" spans="1:18" ht="12.75">
      <c r="A131" s="1026"/>
      <c r="B131" s="1029"/>
      <c r="C131" s="1027"/>
      <c r="D131" s="1028"/>
      <c r="E131" s="73">
        <v>2.7</v>
      </c>
      <c r="F131" s="151"/>
      <c r="G131" s="135">
        <v>3.9</v>
      </c>
      <c r="H131" s="532">
        <f t="shared" si="12"/>
        <v>10.530000000000001</v>
      </c>
      <c r="I131" s="120">
        <v>1</v>
      </c>
      <c r="J131" s="429"/>
      <c r="K131" s="121"/>
      <c r="L131" s="207">
        <f t="shared" si="13"/>
        <v>10.530000000000001</v>
      </c>
      <c r="M131" s="1025"/>
      <c r="N131" s="230"/>
      <c r="O131" s="225"/>
      <c r="P131" s="224"/>
      <c r="Q131" s="4"/>
      <c r="R131" s="2"/>
    </row>
    <row r="132" spans="1:18" ht="12.75">
      <c r="A132" s="1026"/>
      <c r="B132" s="1029"/>
      <c r="C132" s="1027"/>
      <c r="D132" s="1028"/>
      <c r="E132" s="73">
        <v>3.3</v>
      </c>
      <c r="F132" s="151"/>
      <c r="G132" s="135">
        <v>3.9</v>
      </c>
      <c r="H132" s="532">
        <f t="shared" si="12"/>
        <v>12.87</v>
      </c>
      <c r="I132" s="120">
        <v>1</v>
      </c>
      <c r="J132" s="429"/>
      <c r="K132" s="121"/>
      <c r="L132" s="207">
        <f t="shared" si="13"/>
        <v>12.87</v>
      </c>
      <c r="M132" s="1025"/>
      <c r="N132" s="230"/>
      <c r="O132" s="225">
        <v>-555.75</v>
      </c>
      <c r="P132" s="224"/>
      <c r="Q132" s="4"/>
      <c r="R132" s="2"/>
    </row>
    <row r="133" spans="1:18" ht="12.75">
      <c r="A133" s="1026"/>
      <c r="B133" s="1029"/>
      <c r="C133" s="1027"/>
      <c r="D133" s="1028"/>
      <c r="E133" s="73">
        <v>2.5</v>
      </c>
      <c r="F133" s="151"/>
      <c r="G133" s="135">
        <v>3.9</v>
      </c>
      <c r="H133" s="532">
        <f t="shared" si="12"/>
        <v>9.75</v>
      </c>
      <c r="I133" s="120">
        <v>1</v>
      </c>
      <c r="J133" s="429"/>
      <c r="K133" s="121"/>
      <c r="L133" s="207">
        <f t="shared" si="13"/>
        <v>9.75</v>
      </c>
      <c r="M133" s="1025"/>
      <c r="N133" s="230"/>
      <c r="O133" s="225"/>
      <c r="P133" s="224"/>
      <c r="Q133" s="4"/>
      <c r="R133" s="2"/>
    </row>
    <row r="134" spans="1:18" ht="12.75">
      <c r="A134" s="1026"/>
      <c r="B134" s="1029"/>
      <c r="C134" s="1027"/>
      <c r="D134" s="1028"/>
      <c r="E134" s="73">
        <v>1.5</v>
      </c>
      <c r="F134" s="151"/>
      <c r="G134" s="135">
        <v>1.9</v>
      </c>
      <c r="H134" s="532">
        <f t="shared" si="12"/>
        <v>2.8499999999999996</v>
      </c>
      <c r="I134" s="120">
        <v>1</v>
      </c>
      <c r="J134" s="429"/>
      <c r="K134" s="121"/>
      <c r="L134" s="207">
        <f t="shared" si="13"/>
        <v>2.8499999999999996</v>
      </c>
      <c r="M134" s="1025"/>
      <c r="N134" s="230"/>
      <c r="O134" s="225"/>
      <c r="P134" s="224"/>
      <c r="Q134" s="4"/>
      <c r="R134" s="2"/>
    </row>
    <row r="135" spans="1:18" ht="12.75">
      <c r="A135" s="1026"/>
      <c r="B135" s="1029"/>
      <c r="C135" s="1027"/>
      <c r="D135" s="1028"/>
      <c r="E135" s="73">
        <v>1.5</v>
      </c>
      <c r="F135" s="151"/>
      <c r="G135" s="135">
        <v>2</v>
      </c>
      <c r="H135" s="532">
        <f t="shared" si="12"/>
        <v>3</v>
      </c>
      <c r="I135" s="120">
        <v>1</v>
      </c>
      <c r="J135" s="429"/>
      <c r="K135" s="121"/>
      <c r="L135" s="207">
        <f t="shared" si="13"/>
        <v>3</v>
      </c>
      <c r="M135" s="1025"/>
      <c r="N135" s="230"/>
      <c r="O135" s="225"/>
      <c r="P135" s="224"/>
      <c r="Q135" s="4"/>
      <c r="R135" s="2"/>
    </row>
    <row r="136" spans="1:18" ht="12.75">
      <c r="A136" s="1026"/>
      <c r="B136" s="1029"/>
      <c r="C136" s="1027"/>
      <c r="D136" s="1028"/>
      <c r="E136" s="73">
        <v>2.5</v>
      </c>
      <c r="F136" s="151"/>
      <c r="G136" s="135">
        <v>3.9</v>
      </c>
      <c r="H136" s="532">
        <f t="shared" si="12"/>
        <v>9.75</v>
      </c>
      <c r="I136" s="120">
        <v>1</v>
      </c>
      <c r="J136" s="429"/>
      <c r="K136" s="121"/>
      <c r="L136" s="207">
        <f t="shared" si="13"/>
        <v>9.75</v>
      </c>
      <c r="M136" s="1025"/>
      <c r="N136" s="230"/>
      <c r="O136" s="225"/>
      <c r="P136" s="224"/>
      <c r="Q136" s="4"/>
      <c r="R136" s="2"/>
    </row>
    <row r="137" spans="1:18" ht="12.75">
      <c r="A137" s="1026"/>
      <c r="B137" s="1029"/>
      <c r="C137" s="1027"/>
      <c r="D137" s="1028"/>
      <c r="E137" s="73">
        <v>2.5</v>
      </c>
      <c r="F137" s="151"/>
      <c r="G137" s="135">
        <v>3.9</v>
      </c>
      <c r="H137" s="532">
        <f t="shared" si="12"/>
        <v>9.75</v>
      </c>
      <c r="I137" s="120">
        <v>1</v>
      </c>
      <c r="J137" s="429"/>
      <c r="K137" s="121"/>
      <c r="L137" s="207">
        <f t="shared" si="13"/>
        <v>9.75</v>
      </c>
      <c r="M137" s="1025"/>
      <c r="N137" s="230"/>
      <c r="O137" s="225"/>
      <c r="P137" s="224"/>
      <c r="Q137" s="4"/>
      <c r="R137" s="2"/>
    </row>
    <row r="138" spans="1:18" ht="45">
      <c r="A138" s="78" t="s">
        <v>188</v>
      </c>
      <c r="B138" s="90" t="s">
        <v>0</v>
      </c>
      <c r="C138" s="14" t="s">
        <v>128</v>
      </c>
      <c r="D138" s="74">
        <f>L138</f>
        <v>555.75</v>
      </c>
      <c r="E138" s="73"/>
      <c r="F138" s="151"/>
      <c r="G138" s="135"/>
      <c r="H138" s="532">
        <v>555.75</v>
      </c>
      <c r="I138" s="120">
        <v>1</v>
      </c>
      <c r="J138" s="429"/>
      <c r="K138" s="121"/>
      <c r="L138" s="207">
        <f t="shared" si="13"/>
        <v>555.75</v>
      </c>
      <c r="M138" s="514" t="s">
        <v>15</v>
      </c>
      <c r="N138" s="230"/>
      <c r="O138" s="225"/>
      <c r="P138" s="224"/>
      <c r="Q138" s="4"/>
      <c r="R138" s="2"/>
    </row>
    <row r="139" spans="1:18" ht="22.5">
      <c r="A139" s="78" t="s">
        <v>189</v>
      </c>
      <c r="B139" s="90" t="s">
        <v>151</v>
      </c>
      <c r="C139" s="14" t="s">
        <v>128</v>
      </c>
      <c r="D139" s="74">
        <f>L139</f>
        <v>154.8</v>
      </c>
      <c r="E139" s="73"/>
      <c r="F139" s="151">
        <v>1.8</v>
      </c>
      <c r="G139" s="135">
        <v>43</v>
      </c>
      <c r="H139" s="532">
        <f>IF(ISBLANK(F139),E139*G139,IF(ISBLANK(E139),F139*G139,IF(ISBLANK(G139),E139*F139,E139*F139*G139)))</f>
        <v>77.4</v>
      </c>
      <c r="I139" s="120">
        <v>2</v>
      </c>
      <c r="J139" s="429"/>
      <c r="K139" s="121"/>
      <c r="L139" s="207">
        <f t="shared" si="13"/>
        <v>154.8</v>
      </c>
      <c r="M139" s="523" t="s">
        <v>429</v>
      </c>
      <c r="N139" s="230"/>
      <c r="O139" s="225"/>
      <c r="P139" s="224"/>
      <c r="Q139" s="4"/>
      <c r="R139" s="2"/>
    </row>
    <row r="140" spans="1:17" s="32" customFormat="1" ht="12.75">
      <c r="A140" s="80"/>
      <c r="B140" s="92"/>
      <c r="C140" s="501"/>
      <c r="D140" s="137"/>
      <c r="E140" s="138"/>
      <c r="F140" s="143"/>
      <c r="G140" s="139"/>
      <c r="H140" s="144"/>
      <c r="I140" s="144"/>
      <c r="J140" s="432"/>
      <c r="K140" s="140"/>
      <c r="L140" s="211"/>
      <c r="M140" s="519"/>
      <c r="N140" s="232"/>
      <c r="O140" s="233"/>
      <c r="P140" s="234"/>
      <c r="Q140" s="66"/>
    </row>
    <row r="141" spans="1:17" s="69" customFormat="1" ht="12.75">
      <c r="A141" s="77" t="s">
        <v>191</v>
      </c>
      <c r="B141" s="93" t="s">
        <v>86</v>
      </c>
      <c r="C141" s="25"/>
      <c r="D141" s="113"/>
      <c r="E141" s="167"/>
      <c r="F141" s="167"/>
      <c r="G141" s="168"/>
      <c r="H141" s="169"/>
      <c r="I141" s="169"/>
      <c r="J141" s="170"/>
      <c r="K141" s="171"/>
      <c r="L141" s="217"/>
      <c r="M141" s="528"/>
      <c r="N141" s="238"/>
      <c r="O141" s="239"/>
      <c r="P141" s="240"/>
      <c r="Q141" s="70"/>
    </row>
    <row r="142" spans="1:18" ht="12.75">
      <c r="A142" s="1026" t="s">
        <v>501</v>
      </c>
      <c r="B142" s="1029" t="s">
        <v>152</v>
      </c>
      <c r="C142" s="1027" t="s">
        <v>128</v>
      </c>
      <c r="D142" s="1028">
        <f>SUM(L142,L143,L144,L145,L146,L147,L148,L149)</f>
        <v>69.03</v>
      </c>
      <c r="E142" s="73">
        <v>2.7</v>
      </c>
      <c r="F142" s="151"/>
      <c r="G142" s="135">
        <v>3.9</v>
      </c>
      <c r="H142" s="532">
        <f aca="true" t="shared" si="14" ref="H142:H149">IF(ISBLANK(F142),E142*G142,IF(ISBLANK(E142),F142*G142,IF(ISBLANK(G142),E142*F142,E142*F142*G142)))</f>
        <v>10.530000000000001</v>
      </c>
      <c r="I142" s="120">
        <v>1</v>
      </c>
      <c r="J142" s="429"/>
      <c r="K142" s="121"/>
      <c r="L142" s="207">
        <f aca="true" t="shared" si="15" ref="L142:L150">I142*H142</f>
        <v>10.530000000000001</v>
      </c>
      <c r="M142" s="1025" t="s">
        <v>431</v>
      </c>
      <c r="N142" s="230"/>
      <c r="O142" s="225"/>
      <c r="P142" s="224"/>
      <c r="Q142" s="4"/>
      <c r="R142" s="2"/>
    </row>
    <row r="143" spans="1:18" ht="12.75">
      <c r="A143" s="1026"/>
      <c r="B143" s="1029"/>
      <c r="C143" s="1027"/>
      <c r="D143" s="1028"/>
      <c r="E143" s="73">
        <v>2.7</v>
      </c>
      <c r="F143" s="151"/>
      <c r="G143" s="135">
        <v>3.9</v>
      </c>
      <c r="H143" s="532">
        <f t="shared" si="14"/>
        <v>10.530000000000001</v>
      </c>
      <c r="I143" s="120">
        <v>1</v>
      </c>
      <c r="J143" s="429"/>
      <c r="K143" s="121"/>
      <c r="L143" s="207">
        <f t="shared" si="15"/>
        <v>10.530000000000001</v>
      </c>
      <c r="M143" s="1025"/>
      <c r="N143" s="230"/>
      <c r="O143" s="225"/>
      <c r="P143" s="224"/>
      <c r="Q143" s="4"/>
      <c r="R143" s="2"/>
    </row>
    <row r="144" spans="1:18" ht="12.75">
      <c r="A144" s="1026"/>
      <c r="B144" s="1029"/>
      <c r="C144" s="1027"/>
      <c r="D144" s="1028">
        <f>SUM(L144,L145)</f>
        <v>22.619999999999997</v>
      </c>
      <c r="E144" s="73">
        <v>3.3</v>
      </c>
      <c r="F144" s="151"/>
      <c r="G144" s="135">
        <v>3.9</v>
      </c>
      <c r="H144" s="532">
        <f t="shared" si="14"/>
        <v>12.87</v>
      </c>
      <c r="I144" s="120">
        <v>1</v>
      </c>
      <c r="J144" s="429"/>
      <c r="K144" s="121"/>
      <c r="L144" s="207">
        <f t="shared" si="15"/>
        <v>12.87</v>
      </c>
      <c r="M144" s="1025"/>
      <c r="N144" s="230"/>
      <c r="O144" s="225"/>
      <c r="P144" s="224"/>
      <c r="Q144" s="4"/>
      <c r="R144" s="2"/>
    </row>
    <row r="145" spans="1:18" ht="12.75">
      <c r="A145" s="1026"/>
      <c r="B145" s="1029"/>
      <c r="C145" s="1027"/>
      <c r="D145" s="1028"/>
      <c r="E145" s="73">
        <v>2.5</v>
      </c>
      <c r="F145" s="151"/>
      <c r="G145" s="135">
        <v>3.9</v>
      </c>
      <c r="H145" s="532">
        <f t="shared" si="14"/>
        <v>9.75</v>
      </c>
      <c r="I145" s="120">
        <v>1</v>
      </c>
      <c r="J145" s="429"/>
      <c r="K145" s="121"/>
      <c r="L145" s="207">
        <f t="shared" si="15"/>
        <v>9.75</v>
      </c>
      <c r="M145" s="1025"/>
      <c r="N145" s="230"/>
      <c r="O145" s="225"/>
      <c r="P145" s="224"/>
      <c r="Q145" s="4"/>
      <c r="R145" s="2"/>
    </row>
    <row r="146" spans="1:18" ht="12.75">
      <c r="A146" s="1026"/>
      <c r="B146" s="1029"/>
      <c r="C146" s="1027"/>
      <c r="D146" s="1028">
        <f>SUM(L146,L147,L148,L149)</f>
        <v>25.35</v>
      </c>
      <c r="E146" s="73">
        <v>1.5</v>
      </c>
      <c r="F146" s="151"/>
      <c r="G146" s="135">
        <v>1.9</v>
      </c>
      <c r="H146" s="532">
        <f t="shared" si="14"/>
        <v>2.8499999999999996</v>
      </c>
      <c r="I146" s="120">
        <v>1</v>
      </c>
      <c r="J146" s="429"/>
      <c r="K146" s="121"/>
      <c r="L146" s="207">
        <f t="shared" si="15"/>
        <v>2.8499999999999996</v>
      </c>
      <c r="M146" s="1025"/>
      <c r="N146" s="230"/>
      <c r="O146" s="225"/>
      <c r="P146" s="224"/>
      <c r="Q146" s="4"/>
      <c r="R146" s="2"/>
    </row>
    <row r="147" spans="1:18" ht="12.75">
      <c r="A147" s="1026"/>
      <c r="B147" s="1029"/>
      <c r="C147" s="1027"/>
      <c r="D147" s="1028"/>
      <c r="E147" s="73">
        <v>1.5</v>
      </c>
      <c r="F147" s="151"/>
      <c r="G147" s="135">
        <v>2</v>
      </c>
      <c r="H147" s="532">
        <f t="shared" si="14"/>
        <v>3</v>
      </c>
      <c r="I147" s="120">
        <v>1</v>
      </c>
      <c r="J147" s="429"/>
      <c r="K147" s="121"/>
      <c r="L147" s="207">
        <f t="shared" si="15"/>
        <v>3</v>
      </c>
      <c r="M147" s="1025"/>
      <c r="N147" s="230"/>
      <c r="O147" s="225"/>
      <c r="P147" s="224"/>
      <c r="Q147" s="4"/>
      <c r="R147" s="2"/>
    </row>
    <row r="148" spans="1:18" ht="12.75">
      <c r="A148" s="1026"/>
      <c r="B148" s="1029"/>
      <c r="C148" s="1027"/>
      <c r="D148" s="1028">
        <f>SUM(L148,L149)</f>
        <v>19.5</v>
      </c>
      <c r="E148" s="73">
        <v>2.5</v>
      </c>
      <c r="F148" s="151"/>
      <c r="G148" s="135">
        <v>3.9</v>
      </c>
      <c r="H148" s="532">
        <f t="shared" si="14"/>
        <v>9.75</v>
      </c>
      <c r="I148" s="120">
        <v>1</v>
      </c>
      <c r="J148" s="429"/>
      <c r="K148" s="121"/>
      <c r="L148" s="207">
        <f t="shared" si="15"/>
        <v>9.75</v>
      </c>
      <c r="M148" s="1025"/>
      <c r="N148" s="230"/>
      <c r="O148" s="225"/>
      <c r="P148" s="224"/>
      <c r="Q148" s="4"/>
      <c r="R148" s="2"/>
    </row>
    <row r="149" spans="1:18" ht="12.75">
      <c r="A149" s="1026"/>
      <c r="B149" s="1029"/>
      <c r="C149" s="1027"/>
      <c r="D149" s="1028"/>
      <c r="E149" s="73">
        <v>2.5</v>
      </c>
      <c r="F149" s="151"/>
      <c r="G149" s="135">
        <v>3.9</v>
      </c>
      <c r="H149" s="532">
        <f t="shared" si="14"/>
        <v>9.75</v>
      </c>
      <c r="I149" s="120">
        <v>1</v>
      </c>
      <c r="J149" s="429"/>
      <c r="K149" s="121"/>
      <c r="L149" s="207">
        <f t="shared" si="15"/>
        <v>9.75</v>
      </c>
      <c r="M149" s="1025"/>
      <c r="N149" s="230"/>
      <c r="O149" s="225"/>
      <c r="P149" s="224"/>
      <c r="Q149" s="4"/>
      <c r="R149" s="2"/>
    </row>
    <row r="150" spans="1:18" ht="22.5">
      <c r="A150" s="78" t="s">
        <v>190</v>
      </c>
      <c r="B150" s="90" t="s">
        <v>430</v>
      </c>
      <c r="C150" s="14" t="s">
        <v>128</v>
      </c>
      <c r="D150" s="74">
        <f>L150</f>
        <v>69.03</v>
      </c>
      <c r="E150" s="73"/>
      <c r="F150" s="151"/>
      <c r="G150" s="135"/>
      <c r="H150" s="532">
        <v>69.03</v>
      </c>
      <c r="I150" s="120">
        <v>1</v>
      </c>
      <c r="J150" s="429"/>
      <c r="K150" s="121"/>
      <c r="L150" s="207">
        <f t="shared" si="15"/>
        <v>69.03</v>
      </c>
      <c r="M150" s="514" t="s">
        <v>432</v>
      </c>
      <c r="N150" s="230"/>
      <c r="O150" s="225"/>
      <c r="P150" s="224"/>
      <c r="Q150" s="4"/>
      <c r="R150" s="2"/>
    </row>
    <row r="151" spans="1:17" s="32" customFormat="1" ht="12.75">
      <c r="A151" s="80"/>
      <c r="B151" s="92"/>
      <c r="C151" s="501"/>
      <c r="D151" s="137"/>
      <c r="E151" s="138"/>
      <c r="F151" s="143"/>
      <c r="G151" s="139"/>
      <c r="H151" s="144"/>
      <c r="I151" s="144"/>
      <c r="J151" s="432"/>
      <c r="K151" s="140"/>
      <c r="L151" s="211"/>
      <c r="M151" s="519"/>
      <c r="N151" s="232"/>
      <c r="O151" s="233"/>
      <c r="P151" s="234"/>
      <c r="Q151" s="66"/>
    </row>
    <row r="152" spans="1:17" s="69" customFormat="1" ht="12.75">
      <c r="A152" s="77" t="s">
        <v>192</v>
      </c>
      <c r="B152" s="93" t="s">
        <v>19</v>
      </c>
      <c r="C152" s="25"/>
      <c r="D152" s="113"/>
      <c r="E152" s="167"/>
      <c r="F152" s="167"/>
      <c r="G152" s="172"/>
      <c r="H152" s="173"/>
      <c r="I152" s="173"/>
      <c r="J152" s="170"/>
      <c r="K152" s="174"/>
      <c r="L152" s="218"/>
      <c r="M152" s="529"/>
      <c r="N152" s="238"/>
      <c r="O152" s="239"/>
      <c r="P152" s="240"/>
      <c r="Q152" s="70"/>
    </row>
    <row r="153" spans="1:18" ht="12.75">
      <c r="A153" s="78" t="s">
        <v>112</v>
      </c>
      <c r="B153" s="90" t="s">
        <v>420</v>
      </c>
      <c r="C153" s="14" t="s">
        <v>128</v>
      </c>
      <c r="D153" s="74">
        <f>L153</f>
        <v>36.46</v>
      </c>
      <c r="E153" s="73"/>
      <c r="F153" s="151"/>
      <c r="G153" s="135"/>
      <c r="H153" s="532">
        <v>36.46</v>
      </c>
      <c r="I153" s="120">
        <v>1</v>
      </c>
      <c r="J153" s="429"/>
      <c r="K153" s="121"/>
      <c r="L153" s="207">
        <f>I153*H153</f>
        <v>36.46</v>
      </c>
      <c r="M153" s="514" t="s">
        <v>433</v>
      </c>
      <c r="N153" s="230"/>
      <c r="O153" s="225"/>
      <c r="P153" s="224"/>
      <c r="Q153" s="4"/>
      <c r="R153" s="2"/>
    </row>
    <row r="154" spans="1:17" s="32" customFormat="1" ht="12.75">
      <c r="A154" s="80"/>
      <c r="B154" s="92"/>
      <c r="C154" s="501"/>
      <c r="D154" s="137"/>
      <c r="E154" s="138"/>
      <c r="F154" s="143"/>
      <c r="G154" s="139"/>
      <c r="H154" s="144"/>
      <c r="I154" s="144"/>
      <c r="J154" s="432"/>
      <c r="K154" s="140"/>
      <c r="L154" s="211"/>
      <c r="M154" s="519"/>
      <c r="N154" s="232"/>
      <c r="O154" s="233"/>
      <c r="P154" s="234"/>
      <c r="Q154" s="66"/>
    </row>
    <row r="155" spans="1:17" s="69" customFormat="1" ht="12.75">
      <c r="A155" s="77" t="s">
        <v>193</v>
      </c>
      <c r="B155" s="93" t="s">
        <v>108</v>
      </c>
      <c r="C155" s="25"/>
      <c r="D155" s="113"/>
      <c r="E155" s="167"/>
      <c r="F155" s="167"/>
      <c r="G155" s="172"/>
      <c r="H155" s="169"/>
      <c r="I155" s="169"/>
      <c r="J155" s="170"/>
      <c r="K155" s="171"/>
      <c r="L155" s="217"/>
      <c r="M155" s="528"/>
      <c r="N155" s="238"/>
      <c r="O155" s="239"/>
      <c r="P155" s="240"/>
      <c r="Q155" s="70"/>
    </row>
    <row r="156" spans="1:18" ht="22.5">
      <c r="A156" s="78" t="s">
        <v>194</v>
      </c>
      <c r="B156" s="16" t="s">
        <v>504</v>
      </c>
      <c r="C156" s="14" t="s">
        <v>138</v>
      </c>
      <c r="D156" s="74">
        <f>L156</f>
        <v>6</v>
      </c>
      <c r="E156" s="73"/>
      <c r="F156" s="151"/>
      <c r="G156" s="135"/>
      <c r="H156" s="532"/>
      <c r="I156" s="120">
        <v>6</v>
      </c>
      <c r="J156" s="429"/>
      <c r="K156" s="121"/>
      <c r="L156" s="207">
        <f>I156</f>
        <v>6</v>
      </c>
      <c r="M156" s="1025" t="s">
        <v>434</v>
      </c>
      <c r="N156" s="230"/>
      <c r="O156" s="225"/>
      <c r="P156" s="224"/>
      <c r="Q156" s="4"/>
      <c r="R156" s="2"/>
    </row>
    <row r="157" spans="1:18" ht="45">
      <c r="A157" s="78" t="s">
        <v>195</v>
      </c>
      <c r="B157" s="16" t="s">
        <v>505</v>
      </c>
      <c r="C157" s="14" t="s">
        <v>138</v>
      </c>
      <c r="D157" s="74">
        <f>L157</f>
        <v>6</v>
      </c>
      <c r="E157" s="73"/>
      <c r="F157" s="151"/>
      <c r="G157" s="135"/>
      <c r="H157" s="532"/>
      <c r="I157" s="120">
        <v>6</v>
      </c>
      <c r="J157" s="429"/>
      <c r="K157" s="121"/>
      <c r="L157" s="207">
        <f>I157</f>
        <v>6</v>
      </c>
      <c r="M157" s="1025"/>
      <c r="N157" s="230"/>
      <c r="O157" s="225"/>
      <c r="P157" s="224"/>
      <c r="Q157" s="4"/>
      <c r="R157" s="2"/>
    </row>
    <row r="158" spans="1:18" ht="45">
      <c r="A158" s="78" t="s">
        <v>506</v>
      </c>
      <c r="B158" s="16" t="s">
        <v>502</v>
      </c>
      <c r="C158" s="14" t="s">
        <v>138</v>
      </c>
      <c r="D158" s="74">
        <f>L158</f>
        <v>9</v>
      </c>
      <c r="E158" s="73"/>
      <c r="F158" s="151"/>
      <c r="G158" s="135"/>
      <c r="H158" s="532"/>
      <c r="I158" s="120">
        <v>9</v>
      </c>
      <c r="J158" s="429"/>
      <c r="K158" s="121"/>
      <c r="L158" s="207">
        <f>I158</f>
        <v>9</v>
      </c>
      <c r="M158" s="1025"/>
      <c r="N158" s="230"/>
      <c r="O158" s="225"/>
      <c r="P158" s="224"/>
      <c r="Q158" s="4"/>
      <c r="R158" s="2"/>
    </row>
    <row r="159" spans="1:17" s="32" customFormat="1" ht="12.75">
      <c r="A159" s="80"/>
      <c r="B159" s="92"/>
      <c r="C159" s="501"/>
      <c r="D159" s="137"/>
      <c r="E159" s="138"/>
      <c r="F159" s="143"/>
      <c r="G159" s="139"/>
      <c r="H159" s="144"/>
      <c r="I159" s="144"/>
      <c r="J159" s="432"/>
      <c r="K159" s="140"/>
      <c r="L159" s="211"/>
      <c r="M159" s="519"/>
      <c r="N159" s="232"/>
      <c r="O159" s="233"/>
      <c r="P159" s="234"/>
      <c r="Q159" s="66"/>
    </row>
    <row r="160" spans="1:17" s="69" customFormat="1" ht="12.75">
      <c r="A160" s="77" t="s">
        <v>196</v>
      </c>
      <c r="B160" s="93" t="s">
        <v>109</v>
      </c>
      <c r="C160" s="26"/>
      <c r="D160" s="113"/>
      <c r="E160" s="175"/>
      <c r="F160" s="175"/>
      <c r="G160" s="172"/>
      <c r="H160" s="169"/>
      <c r="I160" s="169"/>
      <c r="J160" s="170"/>
      <c r="K160" s="171"/>
      <c r="L160" s="217"/>
      <c r="M160" s="528"/>
      <c r="N160" s="238"/>
      <c r="O160" s="239"/>
      <c r="P160" s="240"/>
      <c r="Q160" s="70"/>
    </row>
    <row r="161" spans="1:18" ht="12.75">
      <c r="A161" s="1026" t="s">
        <v>197</v>
      </c>
      <c r="B161" s="1029" t="s">
        <v>466</v>
      </c>
      <c r="C161" s="1027" t="s">
        <v>128</v>
      </c>
      <c r="D161" s="1028">
        <f>SUM(L161,L162,L163)</f>
        <v>3.5999999999999996</v>
      </c>
      <c r="E161" s="118">
        <v>0.6</v>
      </c>
      <c r="F161" s="151">
        <v>0.6</v>
      </c>
      <c r="G161" s="135"/>
      <c r="H161" s="532">
        <f>IF(ISBLANK(F161),E161*G161,IF(ISBLANK(E161),F161*G161,IF(ISBLANK(G161),E161*F161,E161*F161*G161)))</f>
        <v>0.36</v>
      </c>
      <c r="I161" s="120">
        <v>2</v>
      </c>
      <c r="J161" s="429"/>
      <c r="K161" s="121"/>
      <c r="L161" s="207">
        <f>I161*H161</f>
        <v>0.72</v>
      </c>
      <c r="M161" s="1025" t="s">
        <v>463</v>
      </c>
      <c r="N161" s="230"/>
      <c r="O161" s="225"/>
      <c r="P161" s="224"/>
      <c r="Q161" s="4"/>
      <c r="R161" s="2"/>
    </row>
    <row r="162" spans="1:18" ht="12.75">
      <c r="A162" s="1026"/>
      <c r="B162" s="1029"/>
      <c r="C162" s="1027"/>
      <c r="D162" s="1028"/>
      <c r="E162" s="118">
        <v>1.2</v>
      </c>
      <c r="F162" s="151">
        <v>0.6</v>
      </c>
      <c r="G162" s="135"/>
      <c r="H162" s="532">
        <f>IF(ISBLANK(F162),E162*G162,IF(ISBLANK(E162),F162*G162,IF(ISBLANK(G162),E162*F162,E162*F162*G162)))</f>
        <v>0.72</v>
      </c>
      <c r="I162" s="120">
        <v>3</v>
      </c>
      <c r="J162" s="429"/>
      <c r="K162" s="121"/>
      <c r="L162" s="207">
        <f>I162*H162</f>
        <v>2.16</v>
      </c>
      <c r="M162" s="1025"/>
      <c r="N162" s="230"/>
      <c r="O162" s="225"/>
      <c r="P162" s="224"/>
      <c r="Q162" s="4"/>
      <c r="R162" s="2"/>
    </row>
    <row r="163" spans="1:18" ht="12.75">
      <c r="A163" s="1026"/>
      <c r="B163" s="1029"/>
      <c r="C163" s="1027"/>
      <c r="D163" s="1028"/>
      <c r="E163" s="118">
        <v>1.2</v>
      </c>
      <c r="F163" s="151">
        <v>0.3</v>
      </c>
      <c r="G163" s="135"/>
      <c r="H163" s="532">
        <f>IF(ISBLANK(F163),E163*G163,IF(ISBLANK(E163),F163*G163,IF(ISBLANK(G163),E163*F163,E163*F163*G163)))</f>
        <v>0.36</v>
      </c>
      <c r="I163" s="120">
        <v>2</v>
      </c>
      <c r="J163" s="429"/>
      <c r="K163" s="121"/>
      <c r="L163" s="207">
        <f>I163*H163</f>
        <v>0.72</v>
      </c>
      <c r="M163" s="1025"/>
      <c r="N163" s="230"/>
      <c r="O163" s="225"/>
      <c r="P163" s="224"/>
      <c r="Q163" s="4"/>
      <c r="R163" s="2"/>
    </row>
    <row r="164" spans="1:17" s="12" customFormat="1" ht="12.75">
      <c r="A164" s="549" t="s">
        <v>215</v>
      </c>
      <c r="B164" s="550" t="s">
        <v>113</v>
      </c>
      <c r="C164" s="75" t="s">
        <v>128</v>
      </c>
      <c r="D164" s="74">
        <f>L164</f>
        <v>2.4</v>
      </c>
      <c r="E164" s="181">
        <v>2</v>
      </c>
      <c r="F164" s="182">
        <v>1.2</v>
      </c>
      <c r="G164" s="183"/>
      <c r="H164" s="532">
        <f>IF(ISBLANK(F164),E164*G164,IF(ISBLANK(E164),F164*G164,IF(ISBLANK(G164),E164*F164,E164*F164*G164)))</f>
        <v>2.4</v>
      </c>
      <c r="I164" s="185">
        <v>1</v>
      </c>
      <c r="J164" s="429"/>
      <c r="K164" s="551"/>
      <c r="L164" s="219">
        <f>I164*H164</f>
        <v>2.4</v>
      </c>
      <c r="M164" s="1025"/>
      <c r="N164" s="252"/>
      <c r="O164" s="253"/>
      <c r="P164" s="254"/>
      <c r="Q164" s="11"/>
    </row>
    <row r="165" spans="1:17" s="12" customFormat="1" ht="12.75">
      <c r="A165" s="549" t="s">
        <v>419</v>
      </c>
      <c r="B165" s="29" t="s">
        <v>30</v>
      </c>
      <c r="C165" s="75" t="s">
        <v>128</v>
      </c>
      <c r="D165" s="74">
        <f>L165</f>
        <v>8.865</v>
      </c>
      <c r="E165" s="181"/>
      <c r="F165" s="182">
        <v>0.9</v>
      </c>
      <c r="G165" s="183">
        <v>9.85</v>
      </c>
      <c r="H165" s="532">
        <f>IF(ISBLANK(F165),E165*G165,IF(ISBLANK(E165),F165*G165,IF(ISBLANK(G165),E165*F165,E165*F165*G165)))</f>
        <v>8.865</v>
      </c>
      <c r="I165" s="185">
        <v>1</v>
      </c>
      <c r="J165" s="429"/>
      <c r="K165" s="551"/>
      <c r="L165" s="219">
        <f>I165*H165</f>
        <v>8.865</v>
      </c>
      <c r="M165" s="1025"/>
      <c r="N165" s="252"/>
      <c r="O165" s="253"/>
      <c r="P165" s="254"/>
      <c r="Q165" s="11"/>
    </row>
    <row r="166" spans="1:17" s="32" customFormat="1" ht="12.75">
      <c r="A166" s="82"/>
      <c r="B166" s="95"/>
      <c r="C166" s="502"/>
      <c r="D166" s="137"/>
      <c r="E166" s="178"/>
      <c r="F166" s="143"/>
      <c r="G166" s="179"/>
      <c r="H166" s="144"/>
      <c r="I166" s="144"/>
      <c r="J166" s="432"/>
      <c r="K166" s="166"/>
      <c r="L166" s="216"/>
      <c r="M166" s="527"/>
      <c r="N166" s="232"/>
      <c r="O166" s="233"/>
      <c r="P166" s="234"/>
      <c r="Q166" s="66"/>
    </row>
    <row r="167" spans="1:17" s="69" customFormat="1" ht="12.75">
      <c r="A167" s="77" t="s">
        <v>198</v>
      </c>
      <c r="B167" s="89" t="s">
        <v>87</v>
      </c>
      <c r="C167" s="22"/>
      <c r="D167" s="113"/>
      <c r="E167" s="149"/>
      <c r="F167" s="149"/>
      <c r="G167" s="133"/>
      <c r="H167" s="113"/>
      <c r="I167" s="113"/>
      <c r="J167" s="170"/>
      <c r="K167" s="134"/>
      <c r="L167" s="210"/>
      <c r="M167" s="517"/>
      <c r="N167" s="238"/>
      <c r="O167" s="239"/>
      <c r="P167" s="240"/>
      <c r="Q167" s="70"/>
    </row>
    <row r="168" spans="1:18" ht="33.75">
      <c r="A168" s="78" t="s">
        <v>199</v>
      </c>
      <c r="B168" s="90" t="s">
        <v>139</v>
      </c>
      <c r="C168" s="14" t="s">
        <v>138</v>
      </c>
      <c r="D168" s="74">
        <f aca="true" t="shared" si="16" ref="D168:D174">L168</f>
        <v>7</v>
      </c>
      <c r="E168" s="73"/>
      <c r="F168" s="151"/>
      <c r="G168" s="135"/>
      <c r="H168" s="122"/>
      <c r="I168" s="120">
        <v>7</v>
      </c>
      <c r="J168" s="429"/>
      <c r="K168" s="121"/>
      <c r="L168" s="207">
        <f>I168</f>
        <v>7</v>
      </c>
      <c r="M168" s="1025" t="s">
        <v>391</v>
      </c>
      <c r="N168" s="230"/>
      <c r="O168" s="225"/>
      <c r="P168" s="224"/>
      <c r="Q168" s="4"/>
      <c r="R168" s="2"/>
    </row>
    <row r="169" spans="1:18" ht="33.75">
      <c r="A169" s="78" t="s">
        <v>541</v>
      </c>
      <c r="B169" s="90" t="s">
        <v>140</v>
      </c>
      <c r="C169" s="14" t="s">
        <v>138</v>
      </c>
      <c r="D169" s="74">
        <f t="shared" si="16"/>
        <v>8</v>
      </c>
      <c r="E169" s="73"/>
      <c r="F169" s="151"/>
      <c r="G169" s="135"/>
      <c r="H169" s="122"/>
      <c r="I169" s="120">
        <v>8</v>
      </c>
      <c r="J169" s="429"/>
      <c r="K169" s="121"/>
      <c r="L169" s="207">
        <f aca="true" t="shared" si="17" ref="L169:L174">I169</f>
        <v>8</v>
      </c>
      <c r="M169" s="1025"/>
      <c r="N169" s="230"/>
      <c r="O169" s="225"/>
      <c r="P169" s="224"/>
      <c r="Q169" s="4"/>
      <c r="R169" s="2"/>
    </row>
    <row r="170" spans="1:18" ht="22.5">
      <c r="A170" s="78" t="s">
        <v>542</v>
      </c>
      <c r="B170" s="90" t="s">
        <v>116</v>
      </c>
      <c r="C170" s="14" t="s">
        <v>138</v>
      </c>
      <c r="D170" s="74">
        <f t="shared" si="16"/>
        <v>6</v>
      </c>
      <c r="E170" s="73"/>
      <c r="F170" s="151"/>
      <c r="G170" s="135"/>
      <c r="H170" s="122"/>
      <c r="I170" s="120">
        <v>6</v>
      </c>
      <c r="J170" s="429"/>
      <c r="K170" s="121"/>
      <c r="L170" s="207">
        <f t="shared" si="17"/>
        <v>6</v>
      </c>
      <c r="M170" s="1025"/>
      <c r="N170" s="230"/>
      <c r="O170" s="225"/>
      <c r="P170" s="224"/>
      <c r="Q170" s="4"/>
      <c r="R170" s="2"/>
    </row>
    <row r="171" spans="1:18" ht="33.75">
      <c r="A171" s="78" t="s">
        <v>543</v>
      </c>
      <c r="B171" s="96" t="s">
        <v>213</v>
      </c>
      <c r="C171" s="14" t="s">
        <v>138</v>
      </c>
      <c r="D171" s="74">
        <f t="shared" si="16"/>
        <v>7</v>
      </c>
      <c r="E171" s="145"/>
      <c r="F171" s="146"/>
      <c r="G171" s="147"/>
      <c r="H171" s="148"/>
      <c r="I171" s="185">
        <v>7</v>
      </c>
      <c r="J171" s="429"/>
      <c r="K171" s="551"/>
      <c r="L171" s="219">
        <f t="shared" si="17"/>
        <v>7</v>
      </c>
      <c r="M171" s="1025"/>
      <c r="N171" s="230"/>
      <c r="O171" s="225"/>
      <c r="P171" s="224"/>
      <c r="Q171" s="4"/>
      <c r="R171" s="2"/>
    </row>
    <row r="172" spans="1:18" ht="33.75">
      <c r="A172" s="560" t="s">
        <v>544</v>
      </c>
      <c r="B172" s="96" t="s">
        <v>212</v>
      </c>
      <c r="C172" s="14" t="s">
        <v>138</v>
      </c>
      <c r="D172" s="74">
        <f t="shared" si="16"/>
        <v>4</v>
      </c>
      <c r="E172" s="145"/>
      <c r="F172" s="146"/>
      <c r="G172" s="147"/>
      <c r="H172" s="148"/>
      <c r="I172" s="185">
        <v>4</v>
      </c>
      <c r="J172" s="429"/>
      <c r="K172" s="551"/>
      <c r="L172" s="219">
        <f t="shared" si="17"/>
        <v>4</v>
      </c>
      <c r="M172" s="1025"/>
      <c r="N172" s="230"/>
      <c r="O172" s="225"/>
      <c r="P172" s="224"/>
      <c r="Q172" s="4"/>
      <c r="R172" s="2"/>
    </row>
    <row r="173" spans="1:17" s="2" customFormat="1" ht="22.5">
      <c r="A173" s="560" t="s">
        <v>545</v>
      </c>
      <c r="B173" s="561" t="s">
        <v>117</v>
      </c>
      <c r="C173" s="14" t="s">
        <v>138</v>
      </c>
      <c r="D173" s="74">
        <f t="shared" si="16"/>
        <v>1</v>
      </c>
      <c r="E173" s="145"/>
      <c r="F173" s="146"/>
      <c r="G173" s="147"/>
      <c r="H173" s="148"/>
      <c r="I173" s="185">
        <v>1</v>
      </c>
      <c r="J173" s="429"/>
      <c r="K173" s="551"/>
      <c r="L173" s="219">
        <f t="shared" si="17"/>
        <v>1</v>
      </c>
      <c r="M173" s="1025"/>
      <c r="N173" s="230"/>
      <c r="O173" s="225"/>
      <c r="P173" s="224"/>
      <c r="Q173" s="4"/>
    </row>
    <row r="174" spans="1:17" s="2" customFormat="1" ht="12.75">
      <c r="A174" s="560" t="s">
        <v>546</v>
      </c>
      <c r="B174" s="561" t="s">
        <v>247</v>
      </c>
      <c r="C174" s="14" t="s">
        <v>138</v>
      </c>
      <c r="D174" s="74">
        <f t="shared" si="16"/>
        <v>4</v>
      </c>
      <c r="E174" s="150"/>
      <c r="F174" s="176"/>
      <c r="G174" s="147"/>
      <c r="H174" s="148"/>
      <c r="I174" s="185">
        <v>4</v>
      </c>
      <c r="J174" s="429"/>
      <c r="K174" s="551"/>
      <c r="L174" s="219">
        <f t="shared" si="17"/>
        <v>4</v>
      </c>
      <c r="M174" s="1025"/>
      <c r="N174" s="230"/>
      <c r="O174" s="225"/>
      <c r="P174" s="224"/>
      <c r="Q174" s="4"/>
    </row>
    <row r="175" spans="1:17" s="32" customFormat="1" ht="12.75">
      <c r="A175" s="80"/>
      <c r="B175" s="92"/>
      <c r="C175" s="28"/>
      <c r="D175" s="137"/>
      <c r="E175" s="177"/>
      <c r="F175" s="143"/>
      <c r="G175" s="139"/>
      <c r="H175" s="144"/>
      <c r="I175" s="557"/>
      <c r="J175" s="432"/>
      <c r="K175" s="558"/>
      <c r="L175" s="559"/>
      <c r="M175" s="519"/>
      <c r="N175" s="232"/>
      <c r="O175" s="233"/>
      <c r="P175" s="234"/>
      <c r="Q175" s="66"/>
    </row>
    <row r="176" spans="1:17" s="69" customFormat="1" ht="12.75">
      <c r="A176" s="77" t="s">
        <v>200</v>
      </c>
      <c r="B176" s="89" t="s">
        <v>111</v>
      </c>
      <c r="C176" s="22"/>
      <c r="D176" s="113"/>
      <c r="E176" s="149"/>
      <c r="F176" s="149"/>
      <c r="G176" s="133"/>
      <c r="H176" s="141"/>
      <c r="I176" s="169"/>
      <c r="J176" s="170"/>
      <c r="K176" s="171"/>
      <c r="L176" s="217"/>
      <c r="M176" s="520"/>
      <c r="N176" s="238"/>
      <c r="O176" s="239"/>
      <c r="P176" s="240"/>
      <c r="Q176" s="70"/>
    </row>
    <row r="177" spans="1:18" ht="12.75">
      <c r="A177" s="78" t="s">
        <v>201</v>
      </c>
      <c r="B177" s="90" t="s">
        <v>52</v>
      </c>
      <c r="C177" s="14" t="s">
        <v>138</v>
      </c>
      <c r="D177" s="74">
        <f aca="true" t="shared" si="18" ref="D177:D209">L177</f>
        <v>2</v>
      </c>
      <c r="E177" s="73"/>
      <c r="F177" s="151"/>
      <c r="G177" s="135"/>
      <c r="H177" s="122"/>
      <c r="I177" s="185">
        <v>2</v>
      </c>
      <c r="J177" s="429"/>
      <c r="K177" s="556"/>
      <c r="L177" s="219">
        <f aca="true" t="shared" si="19" ref="L177:L209">I177</f>
        <v>2</v>
      </c>
      <c r="M177" s="1019" t="s">
        <v>464</v>
      </c>
      <c r="N177" s="230"/>
      <c r="O177" s="225"/>
      <c r="P177" s="224"/>
      <c r="Q177" s="4"/>
      <c r="R177" s="2"/>
    </row>
    <row r="178" spans="1:17" s="6" customFormat="1" ht="33.75">
      <c r="A178" s="549" t="s">
        <v>202</v>
      </c>
      <c r="B178" s="550" t="s">
        <v>236</v>
      </c>
      <c r="C178" s="14" t="s">
        <v>138</v>
      </c>
      <c r="D178" s="74">
        <f t="shared" si="18"/>
        <v>26</v>
      </c>
      <c r="E178" s="145"/>
      <c r="F178" s="146"/>
      <c r="G178" s="147"/>
      <c r="H178" s="148"/>
      <c r="I178" s="185">
        <v>26</v>
      </c>
      <c r="J178" s="429"/>
      <c r="K178" s="551"/>
      <c r="L178" s="219">
        <f t="shared" si="19"/>
        <v>26</v>
      </c>
      <c r="M178" s="1020"/>
      <c r="N178" s="256"/>
      <c r="O178" s="257"/>
      <c r="P178" s="258"/>
      <c r="Q178" s="10"/>
    </row>
    <row r="179" spans="1:18" ht="12.75">
      <c r="A179" s="78" t="s">
        <v>203</v>
      </c>
      <c r="B179" s="90" t="s">
        <v>53</v>
      </c>
      <c r="C179" s="19" t="s">
        <v>127</v>
      </c>
      <c r="D179" s="74">
        <f t="shared" si="18"/>
        <v>6</v>
      </c>
      <c r="E179" s="118"/>
      <c r="F179" s="180"/>
      <c r="G179" s="135"/>
      <c r="H179" s="122"/>
      <c r="I179" s="120">
        <v>6</v>
      </c>
      <c r="J179" s="429"/>
      <c r="K179" s="136"/>
      <c r="L179" s="207">
        <f t="shared" si="19"/>
        <v>6</v>
      </c>
      <c r="M179" s="1020"/>
      <c r="N179" s="230"/>
      <c r="O179" s="225"/>
      <c r="P179" s="224"/>
      <c r="Q179" s="4"/>
      <c r="R179" s="2"/>
    </row>
    <row r="180" spans="1:18" s="9" customFormat="1" ht="33.75">
      <c r="A180" s="78" t="s">
        <v>39</v>
      </c>
      <c r="B180" s="96" t="s">
        <v>42</v>
      </c>
      <c r="C180" s="30" t="s">
        <v>131</v>
      </c>
      <c r="D180" s="74">
        <f t="shared" si="18"/>
        <v>10</v>
      </c>
      <c r="E180" s="181"/>
      <c r="F180" s="182"/>
      <c r="G180" s="183"/>
      <c r="H180" s="184"/>
      <c r="I180" s="185">
        <v>10</v>
      </c>
      <c r="J180" s="429"/>
      <c r="K180" s="186"/>
      <c r="L180" s="207">
        <f t="shared" si="19"/>
        <v>10</v>
      </c>
      <c r="M180" s="1020"/>
      <c r="N180" s="248"/>
      <c r="O180" s="255"/>
      <c r="P180" s="250"/>
      <c r="Q180" s="8"/>
      <c r="R180" s="7"/>
    </row>
    <row r="181" spans="1:18" ht="12.75">
      <c r="A181" s="78" t="s">
        <v>40</v>
      </c>
      <c r="B181" s="90" t="s">
        <v>54</v>
      </c>
      <c r="C181" s="14" t="s">
        <v>138</v>
      </c>
      <c r="D181" s="74">
        <f t="shared" si="18"/>
        <v>4</v>
      </c>
      <c r="E181" s="73"/>
      <c r="F181" s="151"/>
      <c r="G181" s="135"/>
      <c r="H181" s="122"/>
      <c r="I181" s="120">
        <v>4</v>
      </c>
      <c r="J181" s="429"/>
      <c r="K181" s="136"/>
      <c r="L181" s="207">
        <f t="shared" si="19"/>
        <v>4</v>
      </c>
      <c r="M181" s="1020"/>
      <c r="N181" s="230"/>
      <c r="O181" s="225"/>
      <c r="P181" s="224"/>
      <c r="Q181" s="4"/>
      <c r="R181" s="2"/>
    </row>
    <row r="182" spans="1:18" ht="22.5">
      <c r="A182" s="78" t="s">
        <v>41</v>
      </c>
      <c r="B182" s="90" t="s">
        <v>118</v>
      </c>
      <c r="C182" s="14" t="s">
        <v>138</v>
      </c>
      <c r="D182" s="74">
        <f t="shared" si="18"/>
        <v>1</v>
      </c>
      <c r="E182" s="73"/>
      <c r="F182" s="151"/>
      <c r="G182" s="135"/>
      <c r="H182" s="122"/>
      <c r="I182" s="120">
        <v>1</v>
      </c>
      <c r="J182" s="429"/>
      <c r="K182" s="121"/>
      <c r="L182" s="207">
        <f t="shared" si="19"/>
        <v>1</v>
      </c>
      <c r="M182" s="1020"/>
      <c r="N182" s="230"/>
      <c r="O182" s="225"/>
      <c r="P182" s="224"/>
      <c r="Q182" s="4"/>
      <c r="R182" s="2"/>
    </row>
    <row r="183" spans="1:18" ht="12.75">
      <c r="A183" s="78" t="s">
        <v>234</v>
      </c>
      <c r="B183" s="90" t="s">
        <v>119</v>
      </c>
      <c r="C183" s="14" t="s">
        <v>138</v>
      </c>
      <c r="D183" s="74">
        <f t="shared" si="18"/>
        <v>9</v>
      </c>
      <c r="E183" s="73"/>
      <c r="F183" s="151"/>
      <c r="G183" s="135"/>
      <c r="H183" s="122"/>
      <c r="I183" s="120">
        <v>9</v>
      </c>
      <c r="J183" s="429"/>
      <c r="K183" s="136"/>
      <c r="L183" s="207">
        <f t="shared" si="19"/>
        <v>9</v>
      </c>
      <c r="M183" s="1020"/>
      <c r="N183" s="230"/>
      <c r="O183" s="225"/>
      <c r="P183" s="224"/>
      <c r="Q183" s="4"/>
      <c r="R183" s="2"/>
    </row>
    <row r="184" spans="1:18" ht="12.75">
      <c r="A184" s="78" t="s">
        <v>547</v>
      </c>
      <c r="B184" s="90" t="s">
        <v>55</v>
      </c>
      <c r="C184" s="14" t="s">
        <v>138</v>
      </c>
      <c r="D184" s="74">
        <f t="shared" si="18"/>
        <v>9</v>
      </c>
      <c r="E184" s="73"/>
      <c r="F184" s="151"/>
      <c r="G184" s="135"/>
      <c r="H184" s="122"/>
      <c r="I184" s="120">
        <v>9</v>
      </c>
      <c r="J184" s="429"/>
      <c r="K184" s="121"/>
      <c r="L184" s="207">
        <f t="shared" si="19"/>
        <v>9</v>
      </c>
      <c r="M184" s="1020"/>
      <c r="N184" s="230"/>
      <c r="O184" s="225"/>
      <c r="P184" s="224"/>
      <c r="Q184" s="4"/>
      <c r="R184" s="2"/>
    </row>
    <row r="185" spans="1:18" ht="22.5">
      <c r="A185" s="78" t="s">
        <v>548</v>
      </c>
      <c r="B185" s="90" t="s">
        <v>120</v>
      </c>
      <c r="C185" s="19" t="s">
        <v>128</v>
      </c>
      <c r="D185" s="74">
        <f t="shared" si="18"/>
        <v>5.9</v>
      </c>
      <c r="E185" s="118"/>
      <c r="F185" s="180"/>
      <c r="G185" s="135"/>
      <c r="H185" s="122"/>
      <c r="I185" s="120">
        <v>5.9</v>
      </c>
      <c r="J185" s="429"/>
      <c r="K185" s="187"/>
      <c r="L185" s="207">
        <f t="shared" si="19"/>
        <v>5.9</v>
      </c>
      <c r="M185" s="1020"/>
      <c r="N185" s="230"/>
      <c r="O185" s="225"/>
      <c r="P185" s="224"/>
      <c r="Q185" s="4"/>
      <c r="R185" s="2"/>
    </row>
    <row r="186" spans="1:18" ht="22.5">
      <c r="A186" s="78" t="s">
        <v>549</v>
      </c>
      <c r="B186" s="90" t="s">
        <v>56</v>
      </c>
      <c r="C186" s="14" t="s">
        <v>138</v>
      </c>
      <c r="D186" s="74">
        <f t="shared" si="18"/>
        <v>7</v>
      </c>
      <c r="E186" s="73"/>
      <c r="F186" s="151"/>
      <c r="G186" s="135"/>
      <c r="H186" s="122"/>
      <c r="I186" s="120">
        <v>7</v>
      </c>
      <c r="J186" s="429"/>
      <c r="K186" s="121"/>
      <c r="L186" s="207">
        <f t="shared" si="19"/>
        <v>7</v>
      </c>
      <c r="M186" s="1020"/>
      <c r="N186" s="230"/>
      <c r="O186" s="225"/>
      <c r="P186" s="224"/>
      <c r="Q186" s="4"/>
      <c r="R186" s="2"/>
    </row>
    <row r="187" spans="1:18" ht="12.75">
      <c r="A187" s="78" t="s">
        <v>550</v>
      </c>
      <c r="B187" s="90" t="s">
        <v>121</v>
      </c>
      <c r="C187" s="14" t="s">
        <v>138</v>
      </c>
      <c r="D187" s="74">
        <f t="shared" si="18"/>
        <v>8</v>
      </c>
      <c r="E187" s="73"/>
      <c r="F187" s="151"/>
      <c r="G187" s="135"/>
      <c r="H187" s="122"/>
      <c r="I187" s="120">
        <v>8</v>
      </c>
      <c r="J187" s="429"/>
      <c r="K187" s="121"/>
      <c r="L187" s="207">
        <f t="shared" si="19"/>
        <v>8</v>
      </c>
      <c r="M187" s="1020"/>
      <c r="N187" s="230"/>
      <c r="O187" s="225"/>
      <c r="P187" s="224"/>
      <c r="Q187" s="4"/>
      <c r="R187" s="2"/>
    </row>
    <row r="188" spans="1:18" ht="22.5">
      <c r="A188" s="78" t="s">
        <v>551</v>
      </c>
      <c r="B188" s="90" t="s">
        <v>122</v>
      </c>
      <c r="C188" s="14" t="s">
        <v>138</v>
      </c>
      <c r="D188" s="74">
        <f t="shared" si="18"/>
        <v>12</v>
      </c>
      <c r="E188" s="73"/>
      <c r="F188" s="151"/>
      <c r="G188" s="135"/>
      <c r="H188" s="122"/>
      <c r="I188" s="120">
        <v>12</v>
      </c>
      <c r="J188" s="429"/>
      <c r="K188" s="121"/>
      <c r="L188" s="207">
        <f t="shared" si="19"/>
        <v>12</v>
      </c>
      <c r="M188" s="1020"/>
      <c r="N188" s="230"/>
      <c r="O188" s="225"/>
      <c r="P188" s="224"/>
      <c r="Q188" s="4"/>
      <c r="R188" s="2"/>
    </row>
    <row r="189" spans="1:18" ht="12.75">
      <c r="A189" s="78" t="s">
        <v>552</v>
      </c>
      <c r="B189" s="90" t="s">
        <v>123</v>
      </c>
      <c r="C189" s="14" t="s">
        <v>138</v>
      </c>
      <c r="D189" s="74">
        <f t="shared" si="18"/>
        <v>12</v>
      </c>
      <c r="E189" s="73"/>
      <c r="F189" s="151"/>
      <c r="G189" s="135"/>
      <c r="H189" s="122"/>
      <c r="I189" s="120">
        <v>12</v>
      </c>
      <c r="J189" s="429"/>
      <c r="K189" s="121"/>
      <c r="L189" s="207">
        <f t="shared" si="19"/>
        <v>12</v>
      </c>
      <c r="M189" s="1020"/>
      <c r="N189" s="230"/>
      <c r="O189" s="225"/>
      <c r="P189" s="224"/>
      <c r="Q189" s="4"/>
      <c r="R189" s="2"/>
    </row>
    <row r="190" spans="1:18" ht="22.5">
      <c r="A190" s="78" t="s">
        <v>553</v>
      </c>
      <c r="B190" s="90" t="s">
        <v>57</v>
      </c>
      <c r="C190" s="19" t="s">
        <v>128</v>
      </c>
      <c r="D190" s="74">
        <f t="shared" si="18"/>
        <v>3</v>
      </c>
      <c r="E190" s="118"/>
      <c r="F190" s="180"/>
      <c r="G190" s="135"/>
      <c r="H190" s="122"/>
      <c r="I190" s="120">
        <v>3</v>
      </c>
      <c r="J190" s="429"/>
      <c r="K190" s="187"/>
      <c r="L190" s="207">
        <f t="shared" si="19"/>
        <v>3</v>
      </c>
      <c r="M190" s="1020"/>
      <c r="N190" s="230"/>
      <c r="O190" s="225"/>
      <c r="P190" s="224"/>
      <c r="Q190" s="4"/>
      <c r="R190" s="2"/>
    </row>
    <row r="191" spans="1:18" ht="33.75">
      <c r="A191" s="78" t="s">
        <v>554</v>
      </c>
      <c r="B191" s="90" t="s">
        <v>58</v>
      </c>
      <c r="C191" s="14" t="s">
        <v>138</v>
      </c>
      <c r="D191" s="74">
        <f t="shared" si="18"/>
        <v>1</v>
      </c>
      <c r="E191" s="73"/>
      <c r="F191" s="151"/>
      <c r="G191" s="135"/>
      <c r="H191" s="122"/>
      <c r="I191" s="120">
        <v>1</v>
      </c>
      <c r="J191" s="429"/>
      <c r="K191" s="136"/>
      <c r="L191" s="207">
        <f t="shared" si="19"/>
        <v>1</v>
      </c>
      <c r="M191" s="1020"/>
      <c r="N191" s="230"/>
      <c r="O191" s="225"/>
      <c r="P191" s="224"/>
      <c r="Q191" s="4"/>
      <c r="R191" s="2"/>
    </row>
    <row r="192" spans="1:18" ht="33.75">
      <c r="A192" s="78" t="s">
        <v>555</v>
      </c>
      <c r="B192" s="90" t="s">
        <v>129</v>
      </c>
      <c r="C192" s="14" t="s">
        <v>138</v>
      </c>
      <c r="D192" s="74">
        <f t="shared" si="18"/>
        <v>1</v>
      </c>
      <c r="E192" s="73"/>
      <c r="F192" s="151"/>
      <c r="G192" s="135"/>
      <c r="H192" s="122"/>
      <c r="I192" s="120">
        <v>1</v>
      </c>
      <c r="J192" s="429"/>
      <c r="K192" s="136"/>
      <c r="L192" s="207">
        <f t="shared" si="19"/>
        <v>1</v>
      </c>
      <c r="M192" s="1020"/>
      <c r="N192" s="230"/>
      <c r="O192" s="225"/>
      <c r="P192" s="224"/>
      <c r="Q192" s="4"/>
      <c r="R192" s="2"/>
    </row>
    <row r="193" spans="1:18" ht="22.5">
      <c r="A193" s="78" t="s">
        <v>556</v>
      </c>
      <c r="B193" s="90" t="s">
        <v>48</v>
      </c>
      <c r="C193" s="14" t="s">
        <v>138</v>
      </c>
      <c r="D193" s="74">
        <f t="shared" si="18"/>
        <v>2</v>
      </c>
      <c r="E193" s="73"/>
      <c r="F193" s="151"/>
      <c r="G193" s="135"/>
      <c r="H193" s="122"/>
      <c r="I193" s="120">
        <v>2</v>
      </c>
      <c r="J193" s="429"/>
      <c r="K193" s="136"/>
      <c r="L193" s="207">
        <f t="shared" si="19"/>
        <v>2</v>
      </c>
      <c r="M193" s="1020"/>
      <c r="N193" s="230"/>
      <c r="O193" s="225"/>
      <c r="P193" s="224"/>
      <c r="Q193" s="4"/>
      <c r="R193" s="2"/>
    </row>
    <row r="194" spans="1:18" ht="22.5">
      <c r="A194" s="78" t="s">
        <v>557</v>
      </c>
      <c r="B194" s="90" t="s">
        <v>124</v>
      </c>
      <c r="C194" s="14" t="s">
        <v>138</v>
      </c>
      <c r="D194" s="74">
        <f t="shared" si="18"/>
        <v>8</v>
      </c>
      <c r="E194" s="73"/>
      <c r="F194" s="151"/>
      <c r="G194" s="135"/>
      <c r="H194" s="122"/>
      <c r="I194" s="120">
        <v>8</v>
      </c>
      <c r="J194" s="429"/>
      <c r="K194" s="120"/>
      <c r="L194" s="207">
        <f t="shared" si="19"/>
        <v>8</v>
      </c>
      <c r="M194" s="1020"/>
      <c r="N194" s="230"/>
      <c r="O194" s="225"/>
      <c r="P194" s="224"/>
      <c r="Q194" s="4"/>
      <c r="R194" s="2"/>
    </row>
    <row r="195" spans="1:18" ht="22.5">
      <c r="A195" s="78" t="s">
        <v>558</v>
      </c>
      <c r="B195" s="90" t="s">
        <v>130</v>
      </c>
      <c r="C195" s="14" t="s">
        <v>138</v>
      </c>
      <c r="D195" s="74">
        <f t="shared" si="18"/>
        <v>1</v>
      </c>
      <c r="E195" s="73"/>
      <c r="F195" s="151"/>
      <c r="G195" s="135"/>
      <c r="H195" s="122"/>
      <c r="I195" s="120">
        <v>1</v>
      </c>
      <c r="J195" s="429"/>
      <c r="K195" s="136"/>
      <c r="L195" s="207">
        <f t="shared" si="19"/>
        <v>1</v>
      </c>
      <c r="M195" s="1020"/>
      <c r="N195" s="230"/>
      <c r="O195" s="225"/>
      <c r="P195" s="224"/>
      <c r="Q195" s="4"/>
      <c r="R195" s="2"/>
    </row>
    <row r="196" spans="1:18" ht="45">
      <c r="A196" s="78" t="s">
        <v>559</v>
      </c>
      <c r="B196" s="90" t="s">
        <v>243</v>
      </c>
      <c r="C196" s="14" t="s">
        <v>138</v>
      </c>
      <c r="D196" s="74">
        <f t="shared" si="18"/>
        <v>1</v>
      </c>
      <c r="E196" s="73"/>
      <c r="F196" s="151"/>
      <c r="G196" s="135"/>
      <c r="H196" s="122"/>
      <c r="I196" s="120">
        <v>1</v>
      </c>
      <c r="J196" s="429"/>
      <c r="K196" s="121"/>
      <c r="L196" s="207">
        <f t="shared" si="19"/>
        <v>1</v>
      </c>
      <c r="M196" s="1020"/>
      <c r="N196" s="230"/>
      <c r="O196" s="225"/>
      <c r="P196" s="224"/>
      <c r="Q196" s="4"/>
      <c r="R196" s="2"/>
    </row>
    <row r="197" spans="1:18" ht="22.5">
      <c r="A197" s="78" t="s">
        <v>560</v>
      </c>
      <c r="B197" s="90" t="s">
        <v>214</v>
      </c>
      <c r="C197" s="19" t="s">
        <v>127</v>
      </c>
      <c r="D197" s="74">
        <f t="shared" si="18"/>
        <v>36</v>
      </c>
      <c r="E197" s="118"/>
      <c r="F197" s="180"/>
      <c r="G197" s="135"/>
      <c r="H197" s="122"/>
      <c r="I197" s="120">
        <v>36</v>
      </c>
      <c r="J197" s="429"/>
      <c r="K197" s="187"/>
      <c r="L197" s="207">
        <f t="shared" si="19"/>
        <v>36</v>
      </c>
      <c r="M197" s="1020"/>
      <c r="N197" s="230"/>
      <c r="O197" s="225"/>
      <c r="P197" s="224"/>
      <c r="Q197" s="4"/>
      <c r="R197" s="2"/>
    </row>
    <row r="198" spans="1:17" s="6" customFormat="1" ht="22.5">
      <c r="A198" s="552" t="s">
        <v>561</v>
      </c>
      <c r="B198" s="553" t="s">
        <v>211</v>
      </c>
      <c r="C198" s="555" t="s">
        <v>127</v>
      </c>
      <c r="D198" s="74">
        <f t="shared" si="18"/>
        <v>24</v>
      </c>
      <c r="E198" s="150"/>
      <c r="F198" s="176"/>
      <c r="G198" s="147"/>
      <c r="H198" s="148"/>
      <c r="I198" s="185">
        <v>24</v>
      </c>
      <c r="J198" s="429"/>
      <c r="K198" s="556"/>
      <c r="L198" s="219">
        <f t="shared" si="19"/>
        <v>24</v>
      </c>
      <c r="M198" s="1020"/>
      <c r="N198" s="256"/>
      <c r="O198" s="257"/>
      <c r="P198" s="258"/>
      <c r="Q198" s="10"/>
    </row>
    <row r="199" spans="1:17" s="6" customFormat="1" ht="12.75">
      <c r="A199" s="552" t="s">
        <v>562</v>
      </c>
      <c r="B199" s="553" t="s">
        <v>424</v>
      </c>
      <c r="C199" s="555" t="s">
        <v>127</v>
      </c>
      <c r="D199" s="74">
        <f t="shared" si="18"/>
        <v>48</v>
      </c>
      <c r="E199" s="150"/>
      <c r="F199" s="176"/>
      <c r="G199" s="147"/>
      <c r="H199" s="148"/>
      <c r="I199" s="185">
        <v>48</v>
      </c>
      <c r="J199" s="429"/>
      <c r="K199" s="556"/>
      <c r="L199" s="219">
        <f t="shared" si="19"/>
        <v>48</v>
      </c>
      <c r="M199" s="1020"/>
      <c r="N199" s="256"/>
      <c r="O199" s="257"/>
      <c r="P199" s="258"/>
      <c r="Q199" s="10"/>
    </row>
    <row r="200" spans="1:17" s="6" customFormat="1" ht="22.5">
      <c r="A200" s="552" t="s">
        <v>563</v>
      </c>
      <c r="B200" s="553" t="s">
        <v>134</v>
      </c>
      <c r="C200" s="555" t="s">
        <v>127</v>
      </c>
      <c r="D200" s="74">
        <f t="shared" si="18"/>
        <v>12</v>
      </c>
      <c r="E200" s="150"/>
      <c r="F200" s="176"/>
      <c r="G200" s="147"/>
      <c r="H200" s="148"/>
      <c r="I200" s="185">
        <v>12</v>
      </c>
      <c r="J200" s="429"/>
      <c r="K200" s="556"/>
      <c r="L200" s="219">
        <f t="shared" si="19"/>
        <v>12</v>
      </c>
      <c r="M200" s="1020"/>
      <c r="N200" s="256"/>
      <c r="O200" s="257"/>
      <c r="P200" s="258"/>
      <c r="Q200" s="10"/>
    </row>
    <row r="201" spans="1:17" s="6" customFormat="1" ht="22.5">
      <c r="A201" s="552" t="s">
        <v>564</v>
      </c>
      <c r="B201" s="553" t="s">
        <v>135</v>
      </c>
      <c r="C201" s="555" t="s">
        <v>127</v>
      </c>
      <c r="D201" s="74">
        <f t="shared" si="18"/>
        <v>12</v>
      </c>
      <c r="E201" s="150"/>
      <c r="F201" s="176"/>
      <c r="G201" s="147"/>
      <c r="H201" s="148"/>
      <c r="I201" s="185">
        <v>12</v>
      </c>
      <c r="J201" s="429"/>
      <c r="K201" s="556"/>
      <c r="L201" s="219">
        <f t="shared" si="19"/>
        <v>12</v>
      </c>
      <c r="M201" s="1020"/>
      <c r="N201" s="256"/>
      <c r="O201" s="257"/>
      <c r="P201" s="258"/>
      <c r="Q201" s="10"/>
    </row>
    <row r="202" spans="1:17" s="6" customFormat="1" ht="33.75">
      <c r="A202" s="552" t="s">
        <v>565</v>
      </c>
      <c r="B202" s="553" t="s">
        <v>136</v>
      </c>
      <c r="C202" s="555" t="s">
        <v>138</v>
      </c>
      <c r="D202" s="74">
        <f t="shared" si="18"/>
        <v>1</v>
      </c>
      <c r="E202" s="145"/>
      <c r="F202" s="146"/>
      <c r="G202" s="147"/>
      <c r="H202" s="148"/>
      <c r="I202" s="185">
        <v>1</v>
      </c>
      <c r="J202" s="429"/>
      <c r="K202" s="556"/>
      <c r="L202" s="219">
        <f t="shared" si="19"/>
        <v>1</v>
      </c>
      <c r="M202" s="1020"/>
      <c r="N202" s="256"/>
      <c r="O202" s="257"/>
      <c r="P202" s="258"/>
      <c r="Q202" s="10"/>
    </row>
    <row r="203" spans="1:17" s="6" customFormat="1" ht="22.5">
      <c r="A203" s="552" t="s">
        <v>566</v>
      </c>
      <c r="B203" s="553" t="s">
        <v>137</v>
      </c>
      <c r="C203" s="555" t="s">
        <v>138</v>
      </c>
      <c r="D203" s="74">
        <f t="shared" si="18"/>
        <v>1</v>
      </c>
      <c r="E203" s="145"/>
      <c r="F203" s="146"/>
      <c r="G203" s="147"/>
      <c r="H203" s="148"/>
      <c r="I203" s="185">
        <v>1</v>
      </c>
      <c r="J203" s="429"/>
      <c r="K203" s="556"/>
      <c r="L203" s="219">
        <f t="shared" si="19"/>
        <v>1</v>
      </c>
      <c r="M203" s="1020"/>
      <c r="N203" s="256"/>
      <c r="O203" s="257"/>
      <c r="P203" s="258"/>
      <c r="Q203" s="10"/>
    </row>
    <row r="204" spans="1:17" s="6" customFormat="1" ht="12.75">
      <c r="A204" s="552" t="s">
        <v>567</v>
      </c>
      <c r="B204" s="553" t="s">
        <v>251</v>
      </c>
      <c r="C204" s="555" t="s">
        <v>138</v>
      </c>
      <c r="D204" s="74">
        <f t="shared" si="18"/>
        <v>3</v>
      </c>
      <c r="E204" s="145"/>
      <c r="F204" s="146"/>
      <c r="G204" s="147"/>
      <c r="H204" s="148"/>
      <c r="I204" s="185">
        <v>3</v>
      </c>
      <c r="J204" s="429"/>
      <c r="K204" s="556"/>
      <c r="L204" s="219">
        <f t="shared" si="19"/>
        <v>3</v>
      </c>
      <c r="M204" s="1020"/>
      <c r="N204" s="256"/>
      <c r="O204" s="257"/>
      <c r="P204" s="258"/>
      <c r="Q204" s="10"/>
    </row>
    <row r="205" spans="1:17" s="6" customFormat="1" ht="22.5">
      <c r="A205" s="552" t="s">
        <v>568</v>
      </c>
      <c r="B205" s="553" t="s">
        <v>252</v>
      </c>
      <c r="C205" s="555" t="s">
        <v>138</v>
      </c>
      <c r="D205" s="74">
        <f t="shared" si="18"/>
        <v>5</v>
      </c>
      <c r="E205" s="145"/>
      <c r="F205" s="146"/>
      <c r="G205" s="147"/>
      <c r="H205" s="148"/>
      <c r="I205" s="185">
        <v>5</v>
      </c>
      <c r="J205" s="429"/>
      <c r="K205" s="556"/>
      <c r="L205" s="219">
        <f t="shared" si="19"/>
        <v>5</v>
      </c>
      <c r="M205" s="1020"/>
      <c r="N205" s="256"/>
      <c r="O205" s="257"/>
      <c r="P205" s="258"/>
      <c r="Q205" s="10"/>
    </row>
    <row r="206" spans="1:17" s="6" customFormat="1" ht="22.5">
      <c r="A206" s="552" t="s">
        <v>569</v>
      </c>
      <c r="B206" s="553" t="s">
        <v>253</v>
      </c>
      <c r="C206" s="555" t="s">
        <v>138</v>
      </c>
      <c r="D206" s="74">
        <f t="shared" si="18"/>
        <v>1</v>
      </c>
      <c r="E206" s="145"/>
      <c r="F206" s="146"/>
      <c r="G206" s="147"/>
      <c r="H206" s="148"/>
      <c r="I206" s="185">
        <v>1</v>
      </c>
      <c r="J206" s="429"/>
      <c r="K206" s="556"/>
      <c r="L206" s="219">
        <f t="shared" si="19"/>
        <v>1</v>
      </c>
      <c r="M206" s="1020"/>
      <c r="N206" s="256"/>
      <c r="O206" s="257"/>
      <c r="P206" s="258"/>
      <c r="Q206" s="10"/>
    </row>
    <row r="207" spans="1:17" s="6" customFormat="1" ht="22.5">
      <c r="A207" s="552" t="s">
        <v>570</v>
      </c>
      <c r="B207" s="553" t="s">
        <v>254</v>
      </c>
      <c r="C207" s="555" t="s">
        <v>138</v>
      </c>
      <c r="D207" s="74">
        <f t="shared" si="18"/>
        <v>1</v>
      </c>
      <c r="E207" s="145"/>
      <c r="F207" s="146"/>
      <c r="G207" s="147"/>
      <c r="H207" s="148"/>
      <c r="I207" s="185">
        <v>1</v>
      </c>
      <c r="J207" s="429"/>
      <c r="K207" s="556"/>
      <c r="L207" s="219">
        <f t="shared" si="19"/>
        <v>1</v>
      </c>
      <c r="M207" s="1020"/>
      <c r="N207" s="256"/>
      <c r="O207" s="257"/>
      <c r="P207" s="258"/>
      <c r="Q207" s="10"/>
    </row>
    <row r="208" spans="1:17" s="6" customFormat="1" ht="22.5">
      <c r="A208" s="552" t="s">
        <v>571</v>
      </c>
      <c r="B208" s="553" t="s">
        <v>255</v>
      </c>
      <c r="C208" s="555" t="s">
        <v>138</v>
      </c>
      <c r="D208" s="74">
        <f>L208</f>
        <v>2</v>
      </c>
      <c r="E208" s="145"/>
      <c r="F208" s="146"/>
      <c r="G208" s="147"/>
      <c r="H208" s="148"/>
      <c r="I208" s="185">
        <v>2</v>
      </c>
      <c r="J208" s="429"/>
      <c r="K208" s="556"/>
      <c r="L208" s="219">
        <f>I208</f>
        <v>2</v>
      </c>
      <c r="M208" s="1020"/>
      <c r="N208" s="256"/>
      <c r="O208" s="257"/>
      <c r="P208" s="258"/>
      <c r="Q208" s="10"/>
    </row>
    <row r="209" spans="1:17" s="6" customFormat="1" ht="22.5">
      <c r="A209" s="552" t="s">
        <v>572</v>
      </c>
      <c r="B209" s="553" t="s">
        <v>460</v>
      </c>
      <c r="C209" s="555" t="s">
        <v>138</v>
      </c>
      <c r="D209" s="74">
        <f t="shared" si="18"/>
        <v>1</v>
      </c>
      <c r="E209" s="145"/>
      <c r="F209" s="146"/>
      <c r="G209" s="147"/>
      <c r="H209" s="148"/>
      <c r="I209" s="185">
        <v>1</v>
      </c>
      <c r="J209" s="429"/>
      <c r="K209" s="556"/>
      <c r="L209" s="219">
        <f t="shared" si="19"/>
        <v>1</v>
      </c>
      <c r="M209" s="1020"/>
      <c r="N209" s="256"/>
      <c r="O209" s="257"/>
      <c r="P209" s="258"/>
      <c r="Q209" s="10"/>
    </row>
    <row r="210" spans="1:17" s="32" customFormat="1" ht="12.75">
      <c r="A210" s="80"/>
      <c r="B210" s="92"/>
      <c r="C210" s="28"/>
      <c r="D210" s="137"/>
      <c r="E210" s="177"/>
      <c r="F210" s="143"/>
      <c r="G210" s="139"/>
      <c r="H210" s="144"/>
      <c r="I210" s="557"/>
      <c r="J210" s="432"/>
      <c r="K210" s="558"/>
      <c r="L210" s="559"/>
      <c r="M210" s="526"/>
      <c r="N210" s="232"/>
      <c r="O210" s="233"/>
      <c r="P210" s="234"/>
      <c r="Q210" s="66"/>
    </row>
    <row r="211" spans="1:17" s="69" customFormat="1" ht="12.75">
      <c r="A211" s="77" t="s">
        <v>204</v>
      </c>
      <c r="B211" s="93" t="s">
        <v>89</v>
      </c>
      <c r="C211" s="26"/>
      <c r="D211" s="113"/>
      <c r="E211" s="175"/>
      <c r="F211" s="175"/>
      <c r="G211" s="172"/>
      <c r="H211" s="173"/>
      <c r="I211" s="173"/>
      <c r="J211" s="170"/>
      <c r="K211" s="174"/>
      <c r="L211" s="218"/>
      <c r="M211" s="529"/>
      <c r="N211" s="238"/>
      <c r="O211" s="239"/>
      <c r="P211" s="240"/>
      <c r="Q211" s="70"/>
    </row>
    <row r="212" spans="1:18" ht="12.75">
      <c r="A212" s="78" t="s">
        <v>205</v>
      </c>
      <c r="B212" s="90" t="s">
        <v>4</v>
      </c>
      <c r="C212" s="19" t="s">
        <v>128</v>
      </c>
      <c r="D212" s="74">
        <f>L212</f>
        <v>400.95</v>
      </c>
      <c r="E212" s="118"/>
      <c r="F212" s="180"/>
      <c r="G212" s="135"/>
      <c r="H212" s="122">
        <v>400.95</v>
      </c>
      <c r="I212" s="120">
        <v>1</v>
      </c>
      <c r="J212" s="429"/>
      <c r="K212" s="187"/>
      <c r="L212" s="207">
        <f>I212*H212</f>
        <v>400.95</v>
      </c>
      <c r="M212" s="1024" t="s">
        <v>6</v>
      </c>
      <c r="N212" s="230"/>
      <c r="O212" s="225"/>
      <c r="P212" s="224"/>
      <c r="Q212" s="4"/>
      <c r="R212" s="2"/>
    </row>
    <row r="213" spans="1:18" ht="22.5">
      <c r="A213" s="78" t="s">
        <v>206</v>
      </c>
      <c r="B213" s="90" t="s">
        <v>5</v>
      </c>
      <c r="C213" s="19" t="s">
        <v>128</v>
      </c>
      <c r="D213" s="74">
        <f>L213</f>
        <v>400.95</v>
      </c>
      <c r="E213" s="118"/>
      <c r="F213" s="180"/>
      <c r="G213" s="135"/>
      <c r="H213" s="122">
        <v>400.95</v>
      </c>
      <c r="I213" s="120">
        <v>1</v>
      </c>
      <c r="J213" s="429"/>
      <c r="K213" s="187"/>
      <c r="L213" s="207">
        <f>I213*H213</f>
        <v>400.95</v>
      </c>
      <c r="M213" s="1024"/>
      <c r="N213" s="230"/>
      <c r="O213" s="225"/>
      <c r="P213" s="224"/>
      <c r="Q213" s="4"/>
      <c r="R213" s="2"/>
    </row>
    <row r="214" spans="1:18" ht="22.5">
      <c r="A214" s="78" t="s">
        <v>207</v>
      </c>
      <c r="B214" s="90" t="s">
        <v>141</v>
      </c>
      <c r="C214" s="19" t="s">
        <v>128</v>
      </c>
      <c r="D214" s="74">
        <f>L214</f>
        <v>30.240000000000002</v>
      </c>
      <c r="E214" s="118">
        <v>0.8</v>
      </c>
      <c r="F214" s="180">
        <v>2.1</v>
      </c>
      <c r="G214" s="135"/>
      <c r="H214" s="532">
        <f>IF(ISBLANK(F214),E214*G214,IF(ISBLANK(E214),F214*G214,IF(ISBLANK(G214),E214*F214,E214*F214*G214)))</f>
        <v>1.6800000000000002</v>
      </c>
      <c r="I214" s="120">
        <v>18</v>
      </c>
      <c r="J214" s="429"/>
      <c r="K214" s="187"/>
      <c r="L214" s="219">
        <f>I214*H214</f>
        <v>30.240000000000002</v>
      </c>
      <c r="M214" s="514" t="s">
        <v>7</v>
      </c>
      <c r="N214" s="230"/>
      <c r="O214" s="225"/>
      <c r="P214" s="224"/>
      <c r="Q214" s="4"/>
      <c r="R214" s="2"/>
    </row>
    <row r="215" spans="1:17" s="32" customFormat="1" ht="12.75">
      <c r="A215" s="80"/>
      <c r="B215" s="92"/>
      <c r="C215" s="28"/>
      <c r="D215" s="137"/>
      <c r="E215" s="177"/>
      <c r="F215" s="143"/>
      <c r="G215" s="139"/>
      <c r="H215" s="144"/>
      <c r="I215" s="144"/>
      <c r="J215" s="432"/>
      <c r="K215" s="140"/>
      <c r="L215" s="211"/>
      <c r="M215" s="519"/>
      <c r="N215" s="232"/>
      <c r="O215" s="233"/>
      <c r="P215" s="234"/>
      <c r="Q215" s="66"/>
    </row>
    <row r="216" spans="1:18" ht="12.75">
      <c r="A216" s="76">
        <v>4</v>
      </c>
      <c r="B216" s="97" t="s">
        <v>63</v>
      </c>
      <c r="C216" s="27"/>
      <c r="D216" s="107"/>
      <c r="E216" s="495"/>
      <c r="F216" s="495"/>
      <c r="G216" s="131"/>
      <c r="H216" s="107"/>
      <c r="I216" s="107"/>
      <c r="J216" s="431"/>
      <c r="K216" s="132"/>
      <c r="L216" s="209"/>
      <c r="M216" s="516"/>
      <c r="N216" s="230"/>
      <c r="O216" s="225"/>
      <c r="P216" s="224"/>
      <c r="Q216" s="4"/>
      <c r="R216" s="2"/>
    </row>
    <row r="217" spans="1:18" ht="12.75">
      <c r="A217" s="83" t="s">
        <v>65</v>
      </c>
      <c r="B217" s="98" t="s">
        <v>507</v>
      </c>
      <c r="C217" s="555" t="s">
        <v>138</v>
      </c>
      <c r="D217" s="74">
        <v>100</v>
      </c>
      <c r="E217" s="1021"/>
      <c r="F217" s="1022"/>
      <c r="G217" s="1022"/>
      <c r="H217" s="1022"/>
      <c r="I217" s="1022"/>
      <c r="J217" s="1022"/>
      <c r="K217" s="1022"/>
      <c r="L217" s="1022"/>
      <c r="M217" s="1023"/>
      <c r="N217" s="230"/>
      <c r="O217" s="225"/>
      <c r="P217" s="224"/>
      <c r="Q217" s="4"/>
      <c r="R217" s="2"/>
    </row>
    <row r="218" spans="1:18" ht="13.5" thickBot="1">
      <c r="A218" s="80"/>
      <c r="B218" s="92"/>
      <c r="C218" s="28"/>
      <c r="D218" s="137"/>
      <c r="E218" s="177"/>
      <c r="F218" s="143"/>
      <c r="G218" s="139"/>
      <c r="H218" s="144"/>
      <c r="I218" s="144"/>
      <c r="J218" s="432"/>
      <c r="K218" s="140"/>
      <c r="L218" s="211"/>
      <c r="M218" s="519"/>
      <c r="N218" s="230"/>
      <c r="O218" s="225"/>
      <c r="P218" s="224"/>
      <c r="Q218" s="4"/>
      <c r="R218" s="2"/>
    </row>
    <row r="219" spans="1:18" ht="12.75">
      <c r="A219" s="84"/>
      <c r="B219" s="99"/>
      <c r="C219" s="1035"/>
      <c r="D219" s="1035"/>
      <c r="E219" s="189"/>
      <c r="F219" s="189"/>
      <c r="G219" s="1033"/>
      <c r="H219" s="1033"/>
      <c r="I219" s="1033"/>
      <c r="J219" s="1033"/>
      <c r="K219" s="1033"/>
      <c r="L219" s="1033"/>
      <c r="M219" s="1034"/>
      <c r="N219" s="230"/>
      <c r="O219" s="225"/>
      <c r="P219" s="224"/>
      <c r="Q219" s="4"/>
      <c r="R219" s="2"/>
    </row>
    <row r="220" spans="1:18" ht="12.75">
      <c r="A220" s="85"/>
      <c r="B220" s="100"/>
      <c r="C220" s="1072"/>
      <c r="D220" s="1073"/>
      <c r="E220" s="190"/>
      <c r="F220" s="191"/>
      <c r="G220" s="192"/>
      <c r="H220" s="35"/>
      <c r="I220" s="35"/>
      <c r="J220" s="435"/>
      <c r="K220" s="1017" t="s">
        <v>573</v>
      </c>
      <c r="L220" s="1017"/>
      <c r="M220" s="1018"/>
      <c r="N220" s="230"/>
      <c r="O220" s="225"/>
      <c r="P220" s="224"/>
      <c r="Q220" s="4"/>
      <c r="R220" s="2"/>
    </row>
    <row r="221" spans="1:18" ht="33.75" customHeight="1">
      <c r="A221" s="85"/>
      <c r="B221" s="101"/>
      <c r="C221" s="1074"/>
      <c r="D221" s="1075"/>
      <c r="E221" s="190"/>
      <c r="F221" s="191"/>
      <c r="G221" s="192"/>
      <c r="H221" s="35"/>
      <c r="I221" s="35"/>
      <c r="J221" s="435"/>
      <c r="K221" s="1017"/>
      <c r="L221" s="1017"/>
      <c r="M221" s="1018"/>
      <c r="N221" s="230"/>
      <c r="O221" s="225"/>
      <c r="P221" s="224"/>
      <c r="Q221" s="4"/>
      <c r="R221" s="2"/>
    </row>
    <row r="222" spans="1:18" ht="12.75">
      <c r="A222" s="85"/>
      <c r="B222" s="100"/>
      <c r="C222" s="1071" t="s">
        <v>9</v>
      </c>
      <c r="D222" s="1071"/>
      <c r="E222" s="1071"/>
      <c r="F222" s="1071"/>
      <c r="G222" s="1071"/>
      <c r="H222" s="1071"/>
      <c r="I222" s="1071"/>
      <c r="J222" s="1071"/>
      <c r="K222" s="193"/>
      <c r="L222" s="193"/>
      <c r="M222" s="530"/>
      <c r="N222" s="230"/>
      <c r="O222" s="225"/>
      <c r="P222" s="224"/>
      <c r="Q222" s="4"/>
      <c r="R222" s="2"/>
    </row>
    <row r="223" spans="1:18" ht="12.75" customHeight="1">
      <c r="A223" s="85"/>
      <c r="B223" s="100"/>
      <c r="C223" s="980" t="s">
        <v>8</v>
      </c>
      <c r="D223" s="980"/>
      <c r="E223" s="980"/>
      <c r="F223" s="980"/>
      <c r="G223" s="980"/>
      <c r="H223" s="980"/>
      <c r="I223" s="980"/>
      <c r="J223" s="980"/>
      <c r="K223" s="193"/>
      <c r="L223" s="193"/>
      <c r="M223" s="530"/>
      <c r="N223" s="230"/>
      <c r="O223" s="225"/>
      <c r="P223" s="224"/>
      <c r="Q223" s="4"/>
      <c r="R223" s="2"/>
    </row>
    <row r="224" spans="1:18" ht="12.75">
      <c r="A224" s="85"/>
      <c r="B224" s="100"/>
      <c r="C224" s="439"/>
      <c r="D224" s="100"/>
      <c r="E224" s="190"/>
      <c r="F224" s="191"/>
      <c r="G224" s="192"/>
      <c r="H224" s="35"/>
      <c r="I224" s="35"/>
      <c r="J224" s="435"/>
      <c r="K224" s="193"/>
      <c r="L224" s="193"/>
      <c r="M224" s="530"/>
      <c r="N224" s="230"/>
      <c r="O224" s="225"/>
      <c r="P224" s="224"/>
      <c r="Q224" s="4"/>
      <c r="R224" s="2"/>
    </row>
    <row r="225" spans="1:18" ht="13.5" thickBot="1">
      <c r="A225" s="86"/>
      <c r="B225" s="102"/>
      <c r="C225" s="64"/>
      <c r="D225" s="194"/>
      <c r="E225" s="195"/>
      <c r="F225" s="195"/>
      <c r="G225" s="196"/>
      <c r="H225" s="197"/>
      <c r="I225" s="197"/>
      <c r="J225" s="436"/>
      <c r="K225" s="198"/>
      <c r="L225" s="220"/>
      <c r="M225" s="531"/>
      <c r="N225" s="259"/>
      <c r="O225" s="227"/>
      <c r="P225" s="227"/>
      <c r="Q225" s="2"/>
      <c r="R225" s="2"/>
    </row>
    <row r="226" spans="14:18" ht="12.75">
      <c r="N226" s="227"/>
      <c r="O226" s="227"/>
      <c r="P226" s="227"/>
      <c r="Q226" s="2"/>
      <c r="R226" s="2"/>
    </row>
    <row r="227" spans="14:18" ht="12.75">
      <c r="N227" s="227"/>
      <c r="O227" s="227"/>
      <c r="P227" s="227"/>
      <c r="Q227" s="2"/>
      <c r="R227" s="2"/>
    </row>
    <row r="228" spans="14:18" ht="12.75">
      <c r="N228" s="227"/>
      <c r="O228" s="227"/>
      <c r="P228" s="227"/>
      <c r="Q228" s="2"/>
      <c r="R228" s="2"/>
    </row>
    <row r="229" spans="14:18" ht="12.75">
      <c r="N229" s="227"/>
      <c r="O229" s="227"/>
      <c r="P229" s="227"/>
      <c r="Q229" s="2"/>
      <c r="R229" s="2"/>
    </row>
    <row r="230" spans="14:18" ht="12.75">
      <c r="N230" s="227"/>
      <c r="O230" s="227"/>
      <c r="P230" s="227"/>
      <c r="Q230" s="2"/>
      <c r="R230" s="2"/>
    </row>
    <row r="231" spans="14:18" ht="12.75">
      <c r="N231" s="227"/>
      <c r="O231" s="227"/>
      <c r="P231" s="227"/>
      <c r="Q231" s="2"/>
      <c r="R231" s="2"/>
    </row>
    <row r="232" spans="14:18" ht="12.75">
      <c r="N232" s="227"/>
      <c r="O232" s="227"/>
      <c r="P232" s="227"/>
      <c r="Q232" s="2"/>
      <c r="R232" s="2"/>
    </row>
    <row r="233" spans="14:18" ht="12.75">
      <c r="N233" s="227"/>
      <c r="O233" s="227"/>
      <c r="P233" s="227"/>
      <c r="Q233" s="2"/>
      <c r="R233" s="2"/>
    </row>
    <row r="234" spans="14:18" ht="12.75">
      <c r="N234" s="227"/>
      <c r="O234" s="227"/>
      <c r="P234" s="227"/>
      <c r="Q234" s="2"/>
      <c r="R234" s="2"/>
    </row>
    <row r="235" spans="14:18" ht="12.75">
      <c r="N235" s="227"/>
      <c r="O235" s="227"/>
      <c r="P235" s="227"/>
      <c r="Q235" s="2"/>
      <c r="R235" s="2"/>
    </row>
    <row r="236" spans="14:18" ht="12.75">
      <c r="N236" s="227"/>
      <c r="O236" s="227"/>
      <c r="P236" s="227"/>
      <c r="Q236" s="2"/>
      <c r="R236" s="2"/>
    </row>
    <row r="237" spans="14:18" ht="12.75">
      <c r="N237" s="227"/>
      <c r="O237" s="227"/>
      <c r="P237" s="227"/>
      <c r="Q237" s="2"/>
      <c r="R237" s="2"/>
    </row>
    <row r="238" spans="14:18" ht="12.75">
      <c r="N238" s="227"/>
      <c r="O238" s="227"/>
      <c r="P238" s="227"/>
      <c r="Q238" s="2"/>
      <c r="R238" s="2"/>
    </row>
    <row r="239" spans="14:18" ht="12.75">
      <c r="N239" s="227"/>
      <c r="O239" s="227"/>
      <c r="P239" s="227"/>
      <c r="Q239" s="2"/>
      <c r="R239" s="2"/>
    </row>
    <row r="240" spans="14:18" ht="12.75">
      <c r="N240" s="227"/>
      <c r="O240" s="227"/>
      <c r="P240" s="227"/>
      <c r="Q240" s="2"/>
      <c r="R240" s="2"/>
    </row>
    <row r="241" spans="14:18" ht="12.75">
      <c r="N241" s="227"/>
      <c r="O241" s="227"/>
      <c r="P241" s="227"/>
      <c r="Q241" s="2"/>
      <c r="R241" s="2"/>
    </row>
    <row r="242" spans="14:18" ht="12.75">
      <c r="N242" s="227"/>
      <c r="O242" s="227"/>
      <c r="P242" s="227"/>
      <c r="Q242" s="2"/>
      <c r="R242" s="2"/>
    </row>
    <row r="243" spans="14:18" ht="12.75">
      <c r="N243" s="227"/>
      <c r="O243" s="227"/>
      <c r="P243" s="227"/>
      <c r="Q243" s="2"/>
      <c r="R243" s="2"/>
    </row>
    <row r="244" spans="14:18" ht="12.75">
      <c r="N244" s="227"/>
      <c r="O244" s="227"/>
      <c r="P244" s="227"/>
      <c r="Q244" s="2"/>
      <c r="R244" s="2"/>
    </row>
    <row r="245" spans="14:18" ht="12.75">
      <c r="N245" s="227"/>
      <c r="O245" s="227"/>
      <c r="P245" s="227"/>
      <c r="Q245" s="2"/>
      <c r="R245" s="2"/>
    </row>
    <row r="246" spans="14:18" ht="12.75">
      <c r="N246" s="227"/>
      <c r="O246" s="227"/>
      <c r="P246" s="227"/>
      <c r="Q246" s="2"/>
      <c r="R246" s="2"/>
    </row>
    <row r="247" spans="14:18" ht="12.75">
      <c r="N247" s="227"/>
      <c r="O247" s="227"/>
      <c r="P247" s="227"/>
      <c r="Q247" s="2"/>
      <c r="R247" s="2"/>
    </row>
    <row r="248" spans="14:18" ht="12.75">
      <c r="N248" s="227"/>
      <c r="O248" s="227"/>
      <c r="P248" s="227"/>
      <c r="Q248" s="2"/>
      <c r="R248" s="2"/>
    </row>
    <row r="249" spans="14:18" ht="12.75">
      <c r="N249" s="227"/>
      <c r="O249" s="227"/>
      <c r="P249" s="227"/>
      <c r="Q249" s="2"/>
      <c r="R249" s="2"/>
    </row>
  </sheetData>
  <sheetProtection/>
  <mergeCells count="74">
    <mergeCell ref="M5:M7"/>
    <mergeCell ref="E5:L5"/>
    <mergeCell ref="L6:L7"/>
    <mergeCell ref="M78:M79"/>
    <mergeCell ref="M52:M53"/>
    <mergeCell ref="M24:M29"/>
    <mergeCell ref="M62:M73"/>
    <mergeCell ref="I6:I7"/>
    <mergeCell ref="M109:M115"/>
    <mergeCell ref="M118:M121"/>
    <mergeCell ref="M122:M123"/>
    <mergeCell ref="C223:J223"/>
    <mergeCell ref="C222:J222"/>
    <mergeCell ref="K220:M220"/>
    <mergeCell ref="C220:D220"/>
    <mergeCell ref="C221:D221"/>
    <mergeCell ref="D122:D123"/>
    <mergeCell ref="M126:M129"/>
    <mergeCell ref="M103:M106"/>
    <mergeCell ref="E1:M1"/>
    <mergeCell ref="A4:M4"/>
    <mergeCell ref="J6:J7"/>
    <mergeCell ref="K6:K7"/>
    <mergeCell ref="A5:A7"/>
    <mergeCell ref="B2:M2"/>
    <mergeCell ref="E6:G6"/>
    <mergeCell ref="H6:H7"/>
    <mergeCell ref="B5:B7"/>
    <mergeCell ref="A126:A137"/>
    <mergeCell ref="A56:A57"/>
    <mergeCell ref="A1:D1"/>
    <mergeCell ref="C5:C7"/>
    <mergeCell ref="D5:D7"/>
    <mergeCell ref="A43:A48"/>
    <mergeCell ref="B16:B20"/>
    <mergeCell ref="A16:A20"/>
    <mergeCell ref="D16:D20"/>
    <mergeCell ref="C16:C20"/>
    <mergeCell ref="A118:A121"/>
    <mergeCell ref="B43:B48"/>
    <mergeCell ref="C43:C48"/>
    <mergeCell ref="D43:D48"/>
    <mergeCell ref="D56:D57"/>
    <mergeCell ref="B56:B57"/>
    <mergeCell ref="C161:C163"/>
    <mergeCell ref="B142:B149"/>
    <mergeCell ref="C56:C57"/>
    <mergeCell ref="D126:D137"/>
    <mergeCell ref="D118:D121"/>
    <mergeCell ref="C118:C121"/>
    <mergeCell ref="B118:B121"/>
    <mergeCell ref="B122:B123"/>
    <mergeCell ref="D142:D149"/>
    <mergeCell ref="B126:B137"/>
    <mergeCell ref="M130:M137"/>
    <mergeCell ref="C126:C137"/>
    <mergeCell ref="B3:M3"/>
    <mergeCell ref="G219:M219"/>
    <mergeCell ref="C219:D219"/>
    <mergeCell ref="A122:A123"/>
    <mergeCell ref="C122:C123"/>
    <mergeCell ref="M168:M174"/>
    <mergeCell ref="M142:M149"/>
    <mergeCell ref="M156:M158"/>
    <mergeCell ref="K221:M221"/>
    <mergeCell ref="M177:M209"/>
    <mergeCell ref="E217:M217"/>
    <mergeCell ref="M212:M213"/>
    <mergeCell ref="M161:M165"/>
    <mergeCell ref="A142:A149"/>
    <mergeCell ref="C142:C149"/>
    <mergeCell ref="A161:A163"/>
    <mergeCell ref="D161:D163"/>
    <mergeCell ref="B161:B163"/>
  </mergeCells>
  <printOptions/>
  <pageMargins left="0.25" right="0.15748031496062992" top="0.21" bottom="0.31" header="0.1968503937007874" footer="0.15"/>
  <pageSetup horizontalDpi="300" verticalDpi="300" orientation="landscape" paperSize="9" scale="80" r:id="rId2"/>
  <headerFooter alignWithMargins="0">
    <oddFooter>&amp;C&amp;8Página &amp;P de &amp;N</oddFooter>
  </headerFooter>
  <rowBreaks count="1" manualBreakCount="1">
    <brk id="192" max="12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32"/>
  <sheetViews>
    <sheetView showGridLines="0" view="pageBreakPreview" zoomScaleNormal="115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11.00390625" style="454" bestFit="1" customWidth="1"/>
    <col min="2" max="2" width="40.421875" style="454" customWidth="1"/>
    <col min="3" max="3" width="11.7109375" style="463" customWidth="1"/>
    <col min="4" max="4" width="3.140625" style="485" bestFit="1" customWidth="1"/>
    <col min="5" max="5" width="11.00390625" style="454" bestFit="1" customWidth="1"/>
    <col min="6" max="6" width="34.421875" style="454" customWidth="1"/>
    <col min="7" max="16384" width="9.140625" style="454" customWidth="1"/>
  </cols>
  <sheetData>
    <row r="1" spans="1:8" s="441" customFormat="1" ht="15.75">
      <c r="A1" s="1090" t="s">
        <v>392</v>
      </c>
      <c r="B1" s="1090"/>
      <c r="C1" s="1090"/>
      <c r="D1" s="1090"/>
      <c r="E1" s="440"/>
      <c r="F1" s="440"/>
      <c r="H1" s="442"/>
    </row>
    <row r="2" spans="1:8" s="444" customFormat="1" ht="12.75">
      <c r="A2" s="443"/>
      <c r="B2" s="443"/>
      <c r="C2" s="443"/>
      <c r="D2" s="443"/>
      <c r="E2" s="443"/>
      <c r="F2" s="443"/>
      <c r="H2" s="445"/>
    </row>
    <row r="3" spans="1:5" s="447" customFormat="1" ht="12.75">
      <c r="A3" s="446" t="s">
        <v>393</v>
      </c>
      <c r="B3" s="1096" t="s">
        <v>414</v>
      </c>
      <c r="C3" s="1096"/>
      <c r="D3" s="1096"/>
      <c r="E3" s="443"/>
    </row>
    <row r="4" spans="1:5" s="447" customFormat="1" ht="30" customHeight="1">
      <c r="A4" s="446" t="s">
        <v>394</v>
      </c>
      <c r="B4" s="1097" t="s">
        <v>677</v>
      </c>
      <c r="C4" s="1097"/>
      <c r="D4" s="1097"/>
      <c r="E4" s="443"/>
    </row>
    <row r="5" spans="1:5" s="447" customFormat="1" ht="12.75">
      <c r="A5" s="446" t="s">
        <v>395</v>
      </c>
      <c r="B5" s="596" t="s">
        <v>679</v>
      </c>
      <c r="C5" s="448"/>
      <c r="D5" s="449"/>
      <c r="E5" s="443"/>
    </row>
    <row r="6" spans="1:5" s="447" customFormat="1" ht="12.75">
      <c r="A6" s="450"/>
      <c r="B6" s="451"/>
      <c r="C6" s="448"/>
      <c r="D6" s="449"/>
      <c r="E6" s="443"/>
    </row>
    <row r="7" spans="1:5" s="453" customFormat="1" ht="12.75">
      <c r="A7" s="450"/>
      <c r="B7" s="451"/>
      <c r="C7" s="452"/>
      <c r="E7" s="443"/>
    </row>
    <row r="8" spans="1:4" ht="12.75">
      <c r="A8" s="1091" t="s">
        <v>396</v>
      </c>
      <c r="B8" s="1091"/>
      <c r="C8" s="1098"/>
      <c r="D8" s="1091"/>
    </row>
    <row r="9" spans="2:4" s="455" customFormat="1" ht="12.75">
      <c r="B9" s="456"/>
      <c r="C9" s="509"/>
      <c r="D9" s="457"/>
    </row>
    <row r="10" spans="2:4" ht="12.75">
      <c r="B10" s="458" t="s">
        <v>397</v>
      </c>
      <c r="C10" s="509"/>
      <c r="D10" s="457"/>
    </row>
    <row r="11" spans="2:4" ht="12.75">
      <c r="B11" s="459"/>
      <c r="C11" s="509"/>
      <c r="D11" s="457"/>
    </row>
    <row r="12" spans="1:4" ht="12.75">
      <c r="A12" s="1091" t="s">
        <v>398</v>
      </c>
      <c r="B12" s="1091"/>
      <c r="C12" s="1091"/>
      <c r="D12" s="1091"/>
    </row>
    <row r="13" spans="2:4" s="455" customFormat="1" ht="6">
      <c r="B13" s="460"/>
      <c r="C13" s="461"/>
      <c r="D13" s="462"/>
    </row>
    <row r="14" spans="2:4" ht="12.75">
      <c r="B14" s="458" t="s">
        <v>416</v>
      </c>
      <c r="C14" s="461"/>
      <c r="D14" s="462"/>
    </row>
    <row r="15" spans="2:6" ht="12.75">
      <c r="B15" s="463"/>
      <c r="D15" s="464"/>
      <c r="E15" s="463"/>
      <c r="F15" s="463"/>
    </row>
    <row r="16" spans="1:4" ht="12.75">
      <c r="A16" s="1091" t="s">
        <v>399</v>
      </c>
      <c r="B16" s="1091"/>
      <c r="C16" s="1091"/>
      <c r="D16" s="1091"/>
    </row>
    <row r="17" spans="2:4" s="455" customFormat="1" ht="6">
      <c r="B17" s="460"/>
      <c r="C17" s="461"/>
      <c r="D17" s="465"/>
    </row>
    <row r="18" spans="1:6" ht="12.75">
      <c r="A18" s="466"/>
      <c r="B18" s="467" t="s">
        <v>408</v>
      </c>
      <c r="C18" s="496">
        <v>4.67</v>
      </c>
      <c r="D18" s="468" t="s">
        <v>219</v>
      </c>
      <c r="F18" s="469"/>
    </row>
    <row r="19" spans="1:6" ht="12.75">
      <c r="A19" s="466"/>
      <c r="B19" s="467" t="s">
        <v>409</v>
      </c>
      <c r="C19" s="496">
        <v>1</v>
      </c>
      <c r="D19" s="468" t="s">
        <v>219</v>
      </c>
      <c r="F19" s="469"/>
    </row>
    <row r="20" spans="1:6" ht="12.75">
      <c r="A20" s="466"/>
      <c r="B20" s="467" t="s">
        <v>410</v>
      </c>
      <c r="C20" s="496">
        <v>1</v>
      </c>
      <c r="D20" s="468" t="s">
        <v>219</v>
      </c>
      <c r="F20" s="469"/>
    </row>
    <row r="21" spans="1:6" ht="12.75">
      <c r="A21" s="466"/>
      <c r="B21" s="467" t="s">
        <v>411</v>
      </c>
      <c r="C21" s="496">
        <v>0.6</v>
      </c>
      <c r="D21" s="468" t="s">
        <v>219</v>
      </c>
      <c r="F21" s="469"/>
    </row>
    <row r="22" spans="1:6" ht="12.75">
      <c r="A22" s="470"/>
      <c r="B22" s="471"/>
      <c r="C22" s="497"/>
      <c r="D22" s="472"/>
      <c r="E22" s="470"/>
      <c r="F22" s="469"/>
    </row>
    <row r="23" spans="1:6" ht="12.75">
      <c r="A23" s="466"/>
      <c r="B23" s="467" t="s">
        <v>412</v>
      </c>
      <c r="C23" s="496">
        <v>5.28</v>
      </c>
      <c r="D23" s="468" t="s">
        <v>219</v>
      </c>
      <c r="F23" s="469"/>
    </row>
    <row r="24" spans="3:4" ht="12.75">
      <c r="C24" s="473"/>
      <c r="D24" s="474"/>
    </row>
    <row r="25" spans="1:4" ht="12.75">
      <c r="A25" s="1091" t="s">
        <v>400</v>
      </c>
      <c r="B25" s="1091"/>
      <c r="C25" s="1091"/>
      <c r="D25" s="1091"/>
    </row>
    <row r="26" spans="2:4" s="455" customFormat="1" ht="6">
      <c r="B26" s="460"/>
      <c r="C26" s="475"/>
      <c r="D26" s="476"/>
    </row>
    <row r="27" spans="1:6" ht="12.75">
      <c r="A27" s="466"/>
      <c r="B27" s="477" t="s">
        <v>401</v>
      </c>
      <c r="C27" s="478">
        <v>10.65</v>
      </c>
      <c r="D27" s="479" t="s">
        <v>219</v>
      </c>
      <c r="F27" s="469"/>
    </row>
    <row r="28" spans="2:6" ht="12.75">
      <c r="B28" s="480" t="s">
        <v>402</v>
      </c>
      <c r="C28" s="496">
        <v>5</v>
      </c>
      <c r="D28" s="468" t="s">
        <v>219</v>
      </c>
      <c r="F28" s="469"/>
    </row>
    <row r="29" spans="2:6" ht="12.75">
      <c r="B29" s="480" t="s">
        <v>403</v>
      </c>
      <c r="C29" s="498">
        <v>3</v>
      </c>
      <c r="D29" s="481" t="s">
        <v>219</v>
      </c>
      <c r="F29" s="469"/>
    </row>
    <row r="30" spans="2:4" ht="12.75">
      <c r="B30" s="480" t="s">
        <v>404</v>
      </c>
      <c r="C30" s="498">
        <v>0.65</v>
      </c>
      <c r="D30" s="481" t="s">
        <v>219</v>
      </c>
    </row>
    <row r="31" spans="2:4" ht="12.75">
      <c r="B31" s="480" t="s">
        <v>405</v>
      </c>
      <c r="C31" s="498">
        <v>2</v>
      </c>
      <c r="D31" s="468" t="s">
        <v>219</v>
      </c>
    </row>
    <row r="32" ht="12.75">
      <c r="D32" s="464"/>
    </row>
    <row r="33" spans="1:4" ht="12.75">
      <c r="A33" s="1091" t="s">
        <v>406</v>
      </c>
      <c r="B33" s="1091"/>
      <c r="C33" s="1091"/>
      <c r="D33" s="1091"/>
    </row>
    <row r="34" spans="2:4" s="455" customFormat="1" ht="6">
      <c r="B34" s="460"/>
      <c r="C34" s="461"/>
      <c r="D34" s="462"/>
    </row>
    <row r="35" spans="2:6" ht="12.75">
      <c r="B35" s="473" t="s">
        <v>413</v>
      </c>
      <c r="C35" s="1092">
        <f>ROUND((((1+($C$18/100)+($C$20/100)+($C$19/100))*(1+($C$21/100))*(1+($C$23/100)))/(1-$C$27/100)-1),4)</f>
        <v>0.2644</v>
      </c>
      <c r="D35" s="1093"/>
      <c r="F35" s="482" t="str">
        <f>'[1]Auxiliar'!A17</f>
        <v>Atende</v>
      </c>
    </row>
    <row r="36" spans="2:6" ht="12.75">
      <c r="B36" s="463" t="s">
        <v>407</v>
      </c>
      <c r="C36" s="1094"/>
      <c r="D36" s="1095"/>
      <c r="F36" s="483"/>
    </row>
    <row r="37" ht="12.75">
      <c r="C37" s="484"/>
    </row>
    <row r="38" ht="12.75">
      <c r="A38" s="486"/>
    </row>
    <row r="39" ht="12.75">
      <c r="A39" s="486"/>
    </row>
    <row r="40" ht="12.75">
      <c r="A40" s="486"/>
    </row>
    <row r="41" spans="1:4" ht="12.75">
      <c r="A41" s="487"/>
      <c r="B41" s="487"/>
      <c r="C41" s="499"/>
      <c r="D41" s="488"/>
    </row>
    <row r="42" spans="2:4" ht="12.75">
      <c r="B42" s="489" t="s">
        <v>9</v>
      </c>
      <c r="C42" s="499"/>
      <c r="D42" s="488"/>
    </row>
    <row r="43" spans="2:4" ht="12.75">
      <c r="B43" s="490" t="s">
        <v>8</v>
      </c>
      <c r="C43" s="499"/>
      <c r="D43" s="488"/>
    </row>
    <row r="44" ht="12.75"/>
    <row r="45" ht="12.75"/>
    <row r="46" ht="12.75"/>
    <row r="47" ht="12.75"/>
    <row r="232" ht="12.75">
      <c r="C232" s="510" t="s">
        <v>2</v>
      </c>
    </row>
  </sheetData>
  <sheetProtection selectLockedCells="1" autoFilter="0"/>
  <protectedRanges>
    <protectedRange sqref="C18:C21" name="Intervalo1"/>
    <protectedRange sqref="C22:C23 C28:C31" name="Intervalo2"/>
  </protectedRanges>
  <mergeCells count="9">
    <mergeCell ref="A1:D1"/>
    <mergeCell ref="A12:D12"/>
    <mergeCell ref="C35:D36"/>
    <mergeCell ref="B3:D3"/>
    <mergeCell ref="B4:D4"/>
    <mergeCell ref="A8:D8"/>
    <mergeCell ref="A16:D16"/>
    <mergeCell ref="A25:D25"/>
    <mergeCell ref="A33:D33"/>
  </mergeCells>
  <conditionalFormatting sqref="F35">
    <cfRule type="cellIs" priority="1" dxfId="0" operator="equal" stopIfTrue="1">
      <formula>"Atende"</formula>
    </cfRule>
  </conditionalFormatting>
  <dataValidations count="2">
    <dataValidation type="list" allowBlank="1" showInputMessage="1" showErrorMessage="1" sqref="B14">
      <formula1>"Edificações, Fornecimento de Materiais e Equipamentos, Redes de Água, Esgoto ou Correlatas, Rodovias e Ferrovias, Portuárias, Marítimas e Fluviais,"</formula1>
    </dataValidation>
    <dataValidation type="list" allowBlank="1" showInputMessage="1" showErrorMessage="1" sqref="B10">
      <formula1>"Com Desoneração, Sem Desoneração"</formula1>
    </dataValidation>
  </dataValidations>
  <printOptions horizontalCentered="1"/>
  <pageMargins left="0.7874015748031497" right="0.7874015748031497" top="1.5748031496062993" bottom="0.3937007874015748" header="0.5118110236220472" footer="0.5118110236220472"/>
  <pageSetup horizontalDpi="600" verticalDpi="600" orientation="portrait" paperSize="9" scale="1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ADITAMENTO</dc:title>
  <dc:subject/>
  <dc:creator>André L. Maciel</dc:creator>
  <cp:keywords/>
  <dc:description/>
  <cp:lastModifiedBy>Usuario</cp:lastModifiedBy>
  <cp:lastPrinted>2022-06-30T15:57:26Z</cp:lastPrinted>
  <dcterms:created xsi:type="dcterms:W3CDTF">2009-09-10T07:07:34Z</dcterms:created>
  <dcterms:modified xsi:type="dcterms:W3CDTF">2022-06-30T16:08:32Z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